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cvo.sharepoint.com/sites/StrategicCommunicationsandInsightTeam/Shared Documents/Digital/07_Content/05_Publications/Contract uplifts survey results - Feb 2024/"/>
    </mc:Choice>
  </mc:AlternateContent>
  <xr:revisionPtr revIDLastSave="79" documentId="8_{73523125-A376-4825-AD77-D9642424A849}" xr6:coauthVersionLast="47" xr6:coauthVersionMax="47" xr10:uidLastSave="{CE93F23F-67F5-4776-A3F6-C8758A0C800E}"/>
  <workbookProtection lockStructure="1"/>
  <bookViews>
    <workbookView xWindow="-110" yWindow="-110" windowWidth="19420" windowHeight="10300" xr2:uid="{CB7A928B-5681-4BB5-94C4-DAE57BF61D9F}"/>
  </bookViews>
  <sheets>
    <sheet name="Contents" sheetId="1" r:id="rId1"/>
    <sheet name="Methodology" sheetId="2" r:id="rId2"/>
    <sheet name="Definitions" sheetId="3" r:id="rId3"/>
    <sheet name="A1" sheetId="6" r:id="rId4"/>
    <sheet name="A2" sheetId="4" r:id="rId5"/>
    <sheet name="A3" sheetId="5" r:id="rId6"/>
    <sheet name="A4" sheetId="7" r:id="rId7"/>
    <sheet name="B1" sheetId="8" r:id="rId8"/>
    <sheet name="B2" sheetId="9" r:id="rId9"/>
    <sheet name="B3" sheetId="36" r:id="rId10"/>
    <sheet name="C1" sheetId="10" r:id="rId11"/>
    <sheet name="C2" sheetId="11" r:id="rId12"/>
    <sheet name="C3" sheetId="12" r:id="rId13"/>
    <sheet name="C4" sheetId="13" r:id="rId14"/>
    <sheet name="D1" sheetId="14" r:id="rId15"/>
    <sheet name="D2" sheetId="15" r:id="rId16"/>
    <sheet name="D3" sheetId="16" r:id="rId17"/>
    <sheet name="D4" sheetId="17" r:id="rId18"/>
    <sheet name="D5" sheetId="19" r:id="rId19"/>
    <sheet name="E1" sheetId="20" r:id="rId20"/>
    <sheet name="E2" sheetId="21" r:id="rId21"/>
    <sheet name="E3" sheetId="35" r:id="rId22"/>
    <sheet name="F1" sheetId="24" r:id="rId23"/>
    <sheet name="F2" sheetId="25" r:id="rId24"/>
    <sheet name="F3" sheetId="26" r:id="rId25"/>
    <sheet name="F4" sheetId="27" r:id="rId26"/>
    <sheet name="F5" sheetId="28" r:id="rId27"/>
    <sheet name="G1" sheetId="29" r:id="rId28"/>
    <sheet name="G2" sheetId="30" r:id="rId29"/>
    <sheet name="G3" sheetId="31" r:id="rId30"/>
    <sheet name="G4" sheetId="32" r:id="rId31"/>
    <sheet name="G5" sheetId="33" r:id="rId32"/>
    <sheet name="H1" sheetId="34" r:id="rId3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21" l="1"/>
  <c r="C54" i="21"/>
  <c r="D54" i="21"/>
  <c r="D55" i="21"/>
  <c r="D53" i="21"/>
  <c r="D57" i="35"/>
  <c r="D54" i="35"/>
  <c r="D56" i="35"/>
  <c r="D55" i="35"/>
  <c r="C55" i="35"/>
  <c r="C56" i="35"/>
  <c r="D37" i="35"/>
  <c r="D36" i="35"/>
  <c r="D35" i="35"/>
  <c r="D30" i="35"/>
  <c r="D29" i="35"/>
  <c r="D24" i="35"/>
  <c r="C30" i="35"/>
  <c r="C24" i="35"/>
  <c r="C29" i="35"/>
  <c r="C37" i="35"/>
  <c r="C36" i="35"/>
  <c r="C35" i="35"/>
  <c r="C100" i="34"/>
  <c r="C101" i="34"/>
  <c r="C102" i="34"/>
  <c r="C99" i="34"/>
  <c r="C62" i="34"/>
  <c r="C53" i="34"/>
  <c r="C54" i="34"/>
  <c r="C55" i="34"/>
  <c r="C56" i="34"/>
  <c r="C57" i="34"/>
  <c r="C58" i="34"/>
  <c r="C59" i="34"/>
  <c r="C52" i="34"/>
  <c r="C76" i="32"/>
  <c r="C75" i="32"/>
  <c r="C74" i="32"/>
  <c r="C72" i="32"/>
  <c r="C86" i="32"/>
  <c r="C87" i="32"/>
  <c r="C88" i="32"/>
  <c r="C89" i="32"/>
  <c r="C85" i="32"/>
  <c r="C80" i="32"/>
  <c r="C81" i="32"/>
  <c r="C82" i="32"/>
  <c r="C79" i="32"/>
  <c r="C64" i="32"/>
  <c r="C65" i="32"/>
  <c r="C67" i="32"/>
  <c r="C66" i="32"/>
  <c r="C68" i="32"/>
  <c r="C70" i="32"/>
  <c r="C69" i="32"/>
  <c r="C71" i="32"/>
  <c r="C73" i="32"/>
  <c r="C63" i="32"/>
  <c r="C58" i="32"/>
  <c r="C59" i="32"/>
  <c r="C60" i="32"/>
  <c r="C57" i="32"/>
  <c r="C53" i="32"/>
  <c r="C54" i="32"/>
  <c r="C52" i="32"/>
  <c r="C43" i="32"/>
  <c r="C44" i="32"/>
  <c r="C45" i="32"/>
  <c r="C46" i="32"/>
  <c r="C47" i="32"/>
  <c r="C48" i="32"/>
  <c r="C49" i="32"/>
  <c r="C42" i="32"/>
  <c r="C33" i="32"/>
  <c r="C34" i="32"/>
  <c r="C35" i="32"/>
  <c r="C36" i="32"/>
  <c r="C37" i="32"/>
  <c r="C38" i="32"/>
  <c r="C39" i="32"/>
  <c r="C32" i="32"/>
  <c r="C29" i="32"/>
  <c r="C28" i="32"/>
  <c r="C23" i="32"/>
  <c r="C24" i="32"/>
  <c r="C25" i="32"/>
  <c r="C22" i="32"/>
  <c r="C15" i="32"/>
  <c r="C16" i="32"/>
  <c r="C17" i="32"/>
  <c r="C18" i="32"/>
  <c r="C19" i="32"/>
  <c r="C14" i="32"/>
  <c r="C86" i="31"/>
  <c r="C87" i="31"/>
  <c r="C88" i="31"/>
  <c r="C89" i="31"/>
  <c r="C85" i="31"/>
  <c r="C80" i="31"/>
  <c r="C81" i="31"/>
  <c r="C82" i="31"/>
  <c r="C79" i="31"/>
  <c r="C64" i="31"/>
  <c r="C65" i="31"/>
  <c r="C66" i="31"/>
  <c r="C67" i="31"/>
  <c r="C68" i="31"/>
  <c r="C69" i="31"/>
  <c r="C70" i="31"/>
  <c r="C71" i="31"/>
  <c r="C72" i="31"/>
  <c r="C73" i="31"/>
  <c r="C74" i="31"/>
  <c r="C75" i="31"/>
  <c r="C76" i="31"/>
  <c r="C63" i="31"/>
  <c r="C58" i="31"/>
  <c r="C59" i="31"/>
  <c r="C60" i="31"/>
  <c r="C57" i="31"/>
  <c r="C54" i="31"/>
  <c r="C53" i="31"/>
  <c r="C52" i="31"/>
  <c r="C43" i="31"/>
  <c r="C45" i="31"/>
  <c r="C44" i="31"/>
  <c r="C46" i="31"/>
  <c r="C47" i="31"/>
  <c r="C48" i="31"/>
  <c r="C49" i="31"/>
  <c r="C42" i="31"/>
  <c r="C33" i="31"/>
  <c r="C34" i="31"/>
  <c r="C35" i="31"/>
  <c r="C36" i="31"/>
  <c r="C37" i="31"/>
  <c r="C38" i="31"/>
  <c r="C39" i="31"/>
  <c r="C32" i="31"/>
  <c r="C29" i="31"/>
  <c r="C28" i="31"/>
  <c r="C23" i="31"/>
  <c r="C24" i="31"/>
  <c r="C25" i="31"/>
  <c r="C22" i="31"/>
  <c r="C15" i="31"/>
  <c r="C16" i="31"/>
  <c r="C17" i="31"/>
  <c r="C18" i="31"/>
  <c r="C19" i="31"/>
  <c r="C14" i="31"/>
  <c r="C99" i="25"/>
  <c r="C100" i="25"/>
  <c r="C101" i="25"/>
  <c r="C98" i="25"/>
  <c r="C83" i="25"/>
  <c r="C84" i="25"/>
  <c r="C85" i="25"/>
  <c r="C86" i="25"/>
  <c r="C87" i="25"/>
  <c r="C88" i="25"/>
  <c r="C89" i="25"/>
  <c r="C90" i="25"/>
  <c r="C91" i="25"/>
  <c r="C92" i="25"/>
  <c r="C93" i="25"/>
  <c r="C94" i="25"/>
  <c r="C95" i="25"/>
  <c r="C82" i="25"/>
  <c r="C77" i="25"/>
  <c r="C78" i="25"/>
  <c r="C79" i="25"/>
  <c r="C76" i="25"/>
  <c r="C72" i="25"/>
  <c r="C73" i="25"/>
  <c r="C71" i="25"/>
  <c r="C62" i="25"/>
  <c r="C63" i="25"/>
  <c r="C64" i="25"/>
  <c r="C65" i="25"/>
  <c r="C66" i="25"/>
  <c r="C67" i="25"/>
  <c r="C68" i="25"/>
  <c r="C61" i="25"/>
  <c r="C52" i="25"/>
  <c r="C53" i="25"/>
  <c r="C54" i="25"/>
  <c r="C55" i="25"/>
  <c r="C56" i="25"/>
  <c r="C57" i="25"/>
  <c r="C58" i="25"/>
  <c r="C51" i="25"/>
  <c r="C48" i="25"/>
  <c r="C47" i="25"/>
  <c r="C42" i="25"/>
  <c r="C43" i="25"/>
  <c r="C44" i="25"/>
  <c r="C41" i="25"/>
  <c r="C14" i="25"/>
  <c r="C15" i="25"/>
  <c r="C16" i="25"/>
  <c r="C17" i="25"/>
  <c r="C18" i="25"/>
  <c r="C13" i="25"/>
  <c r="D56" i="20"/>
  <c r="D54" i="20"/>
  <c r="D55" i="20"/>
  <c r="C54" i="20"/>
  <c r="C56" i="20"/>
  <c r="C100" i="24"/>
  <c r="C101" i="24"/>
  <c r="C102" i="24"/>
  <c r="C99" i="24"/>
  <c r="C73" i="24"/>
  <c r="C74" i="24"/>
  <c r="C72" i="24"/>
  <c r="C53" i="24"/>
  <c r="C54" i="24"/>
  <c r="C55" i="24"/>
  <c r="C56" i="24"/>
  <c r="C57" i="24"/>
  <c r="C58" i="24"/>
  <c r="C59" i="24"/>
  <c r="C52" i="24"/>
  <c r="C49" i="24"/>
  <c r="C48" i="24"/>
  <c r="C43" i="24"/>
  <c r="C44" i="24"/>
  <c r="C45" i="24"/>
  <c r="C42" i="24"/>
  <c r="C16" i="20"/>
  <c r="C15" i="20"/>
  <c r="D28" i="21"/>
  <c r="D32" i="21"/>
  <c r="D31" i="21"/>
  <c r="D30" i="21"/>
  <c r="D29" i="21"/>
  <c r="D27" i="21"/>
  <c r="D26" i="21"/>
  <c r="C33" i="21"/>
  <c r="C26" i="21"/>
  <c r="C32" i="21"/>
  <c r="C30" i="21"/>
  <c r="C29" i="21"/>
  <c r="C31" i="21"/>
  <c r="C28" i="21"/>
  <c r="C36" i="21"/>
  <c r="D33" i="21"/>
  <c r="D36" i="21"/>
  <c r="D37" i="20"/>
  <c r="D36" i="20"/>
  <c r="C37" i="20"/>
  <c r="C36" i="20"/>
  <c r="C76" i="33"/>
  <c r="C74" i="33"/>
  <c r="C71" i="33"/>
  <c r="C73" i="33"/>
  <c r="C75" i="33"/>
  <c r="C72" i="33"/>
  <c r="C70" i="33"/>
  <c r="C89" i="33"/>
  <c r="C69" i="33"/>
  <c r="C88" i="33"/>
  <c r="C66" i="33"/>
  <c r="C87" i="33"/>
  <c r="C67" i="33"/>
  <c r="C25" i="33"/>
  <c r="C86" i="33"/>
  <c r="C68" i="33"/>
  <c r="C24" i="33"/>
  <c r="D85" i="33"/>
  <c r="C85" i="33"/>
  <c r="C65" i="33"/>
  <c r="C23" i="33"/>
  <c r="C64" i="33"/>
  <c r="C22" i="33"/>
  <c r="C63" i="33"/>
  <c r="C49" i="33"/>
  <c r="C48" i="33"/>
  <c r="C39" i="33"/>
  <c r="C47" i="33"/>
  <c r="C60" i="33"/>
  <c r="C38" i="33"/>
  <c r="C46" i="33"/>
  <c r="C59" i="33"/>
  <c r="C37" i="33"/>
  <c r="C44" i="33"/>
  <c r="C58" i="33"/>
  <c r="C36" i="33"/>
  <c r="C45" i="33"/>
  <c r="C57" i="33"/>
  <c r="C35" i="33"/>
  <c r="C43" i="33"/>
  <c r="C34" i="33"/>
  <c r="C42" i="33"/>
  <c r="C33" i="33"/>
  <c r="C29" i="33"/>
  <c r="C32" i="33"/>
  <c r="C28" i="33"/>
  <c r="C19" i="33"/>
  <c r="C18" i="33"/>
  <c r="C82" i="33"/>
  <c r="C17" i="33"/>
  <c r="C54" i="33"/>
  <c r="C81" i="33"/>
  <c r="C16" i="33"/>
  <c r="C53" i="33"/>
  <c r="C80" i="33"/>
  <c r="C15" i="33"/>
  <c r="C52" i="33"/>
  <c r="C79" i="33"/>
  <c r="C14" i="33"/>
  <c r="D85" i="32"/>
  <c r="D85" i="31"/>
  <c r="C76" i="30"/>
  <c r="C75" i="30"/>
  <c r="C74" i="30"/>
  <c r="C73" i="30"/>
  <c r="C72" i="30"/>
  <c r="C71" i="30"/>
  <c r="C70" i="30"/>
  <c r="C89" i="30"/>
  <c r="C69" i="30"/>
  <c r="C88" i="30"/>
  <c r="C67" i="30"/>
  <c r="C87" i="30"/>
  <c r="C65" i="30"/>
  <c r="C25" i="30"/>
  <c r="C86" i="30"/>
  <c r="C66" i="30"/>
  <c r="C24" i="30"/>
  <c r="D85" i="30"/>
  <c r="C85" i="30"/>
  <c r="C68" i="30"/>
  <c r="C23" i="30"/>
  <c r="C63" i="30"/>
  <c r="C22" i="30"/>
  <c r="C64" i="30"/>
  <c r="C49" i="30"/>
  <c r="C48" i="30"/>
  <c r="C39" i="30"/>
  <c r="C47" i="30"/>
  <c r="C60" i="30"/>
  <c r="C38" i="30"/>
  <c r="C46" i="30"/>
  <c r="C59" i="30"/>
  <c r="C37" i="30"/>
  <c r="C44" i="30"/>
  <c r="C58" i="30"/>
  <c r="C36" i="30"/>
  <c r="C45" i="30"/>
  <c r="C57" i="30"/>
  <c r="C35" i="30"/>
  <c r="C43" i="30"/>
  <c r="C34" i="30"/>
  <c r="C42" i="30"/>
  <c r="C33" i="30"/>
  <c r="C29" i="30"/>
  <c r="C32" i="30"/>
  <c r="C28" i="30"/>
  <c r="C19" i="30"/>
  <c r="C18" i="30"/>
  <c r="C82" i="30"/>
  <c r="C17" i="30"/>
  <c r="C54" i="30"/>
  <c r="C81" i="30"/>
  <c r="C16" i="30"/>
  <c r="C53" i="30"/>
  <c r="C80" i="30"/>
  <c r="C15" i="30"/>
  <c r="C52" i="30"/>
  <c r="C79" i="30"/>
  <c r="C14" i="30"/>
  <c r="C10" i="33"/>
  <c r="C9" i="33"/>
  <c r="C8" i="33"/>
  <c r="C7" i="33"/>
  <c r="C6" i="33"/>
  <c r="C10" i="32"/>
  <c r="C9" i="32"/>
  <c r="C8" i="32"/>
  <c r="C7" i="32"/>
  <c r="C6" i="32"/>
  <c r="C10" i="31"/>
  <c r="C9" i="31"/>
  <c r="C8" i="31"/>
  <c r="C7" i="31"/>
  <c r="C6" i="31"/>
  <c r="C10" i="30"/>
  <c r="C9" i="30"/>
  <c r="C8" i="30"/>
  <c r="C7" i="30"/>
  <c r="C6" i="30"/>
  <c r="C7" i="15"/>
  <c r="C8" i="15"/>
  <c r="C6" i="15"/>
  <c r="C6" i="14"/>
  <c r="C5" i="14"/>
  <c r="E7" i="13"/>
  <c r="E6" i="13"/>
  <c r="B21" i="12"/>
  <c r="C7" i="13"/>
  <c r="C6" i="13"/>
  <c r="C6" i="11"/>
  <c r="C7" i="11"/>
  <c r="C8" i="11"/>
  <c r="C5" i="11"/>
  <c r="C10" i="10"/>
  <c r="C9" i="10"/>
  <c r="C8" i="10"/>
  <c r="C7" i="10"/>
  <c r="C6" i="10"/>
  <c r="C5" i="10"/>
  <c r="C12" i="10"/>
  <c r="C11" i="10"/>
  <c r="B24" i="7"/>
  <c r="B25" i="7"/>
  <c r="B26" i="7"/>
  <c r="B27" i="7"/>
  <c r="B28" i="7"/>
  <c r="B29" i="7"/>
  <c r="B30" i="7"/>
  <c r="B31" i="7"/>
  <c r="B32" i="7"/>
  <c r="B33" i="7"/>
  <c r="B34" i="7"/>
  <c r="B35" i="7"/>
  <c r="B23" i="7"/>
  <c r="B16" i="6"/>
  <c r="B17" i="6"/>
  <c r="B18" i="6"/>
  <c r="B19" i="6"/>
  <c r="B20" i="6"/>
  <c r="B15" i="6"/>
  <c r="C7" i="36"/>
  <c r="C8" i="36"/>
  <c r="C9" i="36"/>
  <c r="C10" i="36"/>
  <c r="C6" i="36"/>
  <c r="C80" i="28"/>
  <c r="C96" i="28"/>
  <c r="C79" i="28"/>
  <c r="C94" i="28"/>
  <c r="C78" i="28"/>
  <c r="C93" i="28"/>
  <c r="C77" i="28"/>
  <c r="C95" i="28"/>
  <c r="C92" i="28"/>
  <c r="C91" i="28"/>
  <c r="C74" i="28"/>
  <c r="C88" i="28"/>
  <c r="C73" i="28"/>
  <c r="C90" i="28"/>
  <c r="C72" i="28"/>
  <c r="C89" i="28"/>
  <c r="C86" i="28"/>
  <c r="C85" i="28"/>
  <c r="C45" i="28"/>
  <c r="C87" i="28"/>
  <c r="C44" i="28"/>
  <c r="C83" i="28"/>
  <c r="C43" i="28"/>
  <c r="C84" i="28"/>
  <c r="C42" i="28"/>
  <c r="C49" i="28"/>
  <c r="C22" i="28"/>
  <c r="C48" i="28"/>
  <c r="C23" i="28"/>
  <c r="C24" i="28"/>
  <c r="C69" i="28"/>
  <c r="C25" i="28"/>
  <c r="C68" i="28"/>
  <c r="C59" i="28"/>
  <c r="C26" i="28"/>
  <c r="C67" i="28"/>
  <c r="C58" i="28"/>
  <c r="C27" i="28"/>
  <c r="C66" i="28"/>
  <c r="C57" i="28"/>
  <c r="C29" i="28"/>
  <c r="C65" i="28"/>
  <c r="C56" i="28"/>
  <c r="C33" i="28"/>
  <c r="C64" i="28"/>
  <c r="C55" i="28"/>
  <c r="C31" i="28"/>
  <c r="C63" i="28"/>
  <c r="C54" i="28"/>
  <c r="C30" i="28"/>
  <c r="C62" i="28"/>
  <c r="C53" i="28"/>
  <c r="C28" i="28"/>
  <c r="C52" i="28"/>
  <c r="C32" i="28"/>
  <c r="C34" i="28"/>
  <c r="C19" i="28"/>
  <c r="C37" i="28"/>
  <c r="C18" i="28"/>
  <c r="C102" i="28"/>
  <c r="C36" i="28"/>
  <c r="C17" i="28"/>
  <c r="C101" i="28"/>
  <c r="D35" i="28"/>
  <c r="C35" i="28"/>
  <c r="C16" i="28"/>
  <c r="C100" i="28"/>
  <c r="D39" i="28"/>
  <c r="C39" i="28"/>
  <c r="C15" i="28"/>
  <c r="C99" i="28"/>
  <c r="D38" i="28"/>
  <c r="C38" i="28"/>
  <c r="C14" i="28"/>
  <c r="C80" i="27"/>
  <c r="C96" i="27"/>
  <c r="C79" i="27"/>
  <c r="C95" i="27"/>
  <c r="C78" i="27"/>
  <c r="C94" i="27"/>
  <c r="C77" i="27"/>
  <c r="C93" i="27"/>
  <c r="C92" i="27"/>
  <c r="C91" i="27"/>
  <c r="C74" i="27"/>
  <c r="C89" i="27"/>
  <c r="C73" i="27"/>
  <c r="C90" i="27"/>
  <c r="C72" i="27"/>
  <c r="C88" i="27"/>
  <c r="C86" i="27"/>
  <c r="C85" i="27"/>
  <c r="C45" i="27"/>
  <c r="C87" i="27"/>
  <c r="C44" i="27"/>
  <c r="C84" i="27"/>
  <c r="C43" i="27"/>
  <c r="C83" i="27"/>
  <c r="C42" i="27"/>
  <c r="C49" i="27"/>
  <c r="C22" i="27"/>
  <c r="C48" i="27"/>
  <c r="C23" i="27"/>
  <c r="C26" i="27"/>
  <c r="C69" i="27"/>
  <c r="C24" i="27"/>
  <c r="C68" i="27"/>
  <c r="C59" i="27"/>
  <c r="C28" i="27"/>
  <c r="C67" i="27"/>
  <c r="C58" i="27"/>
  <c r="C25" i="27"/>
  <c r="C65" i="27"/>
  <c r="C57" i="27"/>
  <c r="C27" i="27"/>
  <c r="C66" i="27"/>
  <c r="C56" i="27"/>
  <c r="C30" i="27"/>
  <c r="C64" i="27"/>
  <c r="C55" i="27"/>
  <c r="C33" i="27"/>
  <c r="C63" i="27"/>
  <c r="C54" i="27"/>
  <c r="C32" i="27"/>
  <c r="C62" i="27"/>
  <c r="C53" i="27"/>
  <c r="C29" i="27"/>
  <c r="C52" i="27"/>
  <c r="C31" i="27"/>
  <c r="C36" i="27"/>
  <c r="C19" i="27"/>
  <c r="C35" i="27"/>
  <c r="C18" i="27"/>
  <c r="C102" i="27"/>
  <c r="C34" i="27"/>
  <c r="C17" i="27"/>
  <c r="C101" i="27"/>
  <c r="D38" i="27"/>
  <c r="C38" i="27"/>
  <c r="C16" i="27"/>
  <c r="C100" i="27"/>
  <c r="D39" i="27"/>
  <c r="C39" i="27"/>
  <c r="C15" i="27"/>
  <c r="C99" i="27"/>
  <c r="D37" i="27"/>
  <c r="C37" i="27"/>
  <c r="C14" i="27"/>
  <c r="C80" i="26"/>
  <c r="C96" i="26"/>
  <c r="C79" i="26"/>
  <c r="C94" i="26"/>
  <c r="C78" i="26"/>
  <c r="C93" i="26"/>
  <c r="C77" i="26"/>
  <c r="C95" i="26"/>
  <c r="C92" i="26"/>
  <c r="C91" i="26"/>
  <c r="C74" i="26"/>
  <c r="C89" i="26"/>
  <c r="C73" i="26"/>
  <c r="C90" i="26"/>
  <c r="C72" i="26"/>
  <c r="C88" i="26"/>
  <c r="C87" i="26"/>
  <c r="C85" i="26"/>
  <c r="C45" i="26"/>
  <c r="C86" i="26"/>
  <c r="C44" i="26"/>
  <c r="C84" i="26"/>
  <c r="C43" i="26"/>
  <c r="C83" i="26"/>
  <c r="C42" i="26"/>
  <c r="C49" i="26"/>
  <c r="C22" i="26"/>
  <c r="C48" i="26"/>
  <c r="C23" i="26"/>
  <c r="C24" i="26"/>
  <c r="C69" i="26"/>
  <c r="C25" i="26"/>
  <c r="C68" i="26"/>
  <c r="C59" i="26"/>
  <c r="C30" i="26"/>
  <c r="C66" i="26"/>
  <c r="C58" i="26"/>
  <c r="C28" i="26"/>
  <c r="C67" i="26"/>
  <c r="C57" i="26"/>
  <c r="C26" i="26"/>
  <c r="C65" i="26"/>
  <c r="C56" i="26"/>
  <c r="C27" i="26"/>
  <c r="C64" i="26"/>
  <c r="C55" i="26"/>
  <c r="C29" i="26"/>
  <c r="C63" i="26"/>
  <c r="C54" i="26"/>
  <c r="C33" i="26"/>
  <c r="C62" i="26"/>
  <c r="C53" i="26"/>
  <c r="C31" i="26"/>
  <c r="C52" i="26"/>
  <c r="C38" i="26"/>
  <c r="C32" i="26"/>
  <c r="C19" i="26"/>
  <c r="C34" i="26"/>
  <c r="C18" i="26"/>
  <c r="C102" i="26"/>
  <c r="C37" i="26"/>
  <c r="C17" i="26"/>
  <c r="C101" i="26"/>
  <c r="D36" i="26"/>
  <c r="C36" i="26"/>
  <c r="C16" i="26"/>
  <c r="C100" i="26"/>
  <c r="D39" i="26"/>
  <c r="C39" i="26"/>
  <c r="C15" i="26"/>
  <c r="C99" i="26"/>
  <c r="D35" i="26"/>
  <c r="C35" i="26"/>
  <c r="C14" i="26"/>
  <c r="C22" i="25"/>
  <c r="C21" i="25"/>
  <c r="C23" i="25"/>
  <c r="C24" i="25"/>
  <c r="C27" i="25"/>
  <c r="C28" i="25"/>
  <c r="C26" i="25"/>
  <c r="C25" i="25"/>
  <c r="C29" i="25"/>
  <c r="C31" i="25"/>
  <c r="C30" i="25"/>
  <c r="C32" i="25"/>
  <c r="C33" i="25"/>
  <c r="C38" i="25"/>
  <c r="C37" i="25"/>
  <c r="D35" i="25"/>
  <c r="C35" i="25"/>
  <c r="D36" i="25"/>
  <c r="C36" i="25"/>
  <c r="D34" i="25"/>
  <c r="C34" i="25"/>
  <c r="C10" i="28"/>
  <c r="C9" i="28"/>
  <c r="C8" i="28"/>
  <c r="C7" i="28"/>
  <c r="C6" i="28"/>
  <c r="C10" i="27"/>
  <c r="C9" i="27"/>
  <c r="C8" i="27"/>
  <c r="C7" i="27"/>
  <c r="C6" i="27"/>
  <c r="C10" i="26"/>
  <c r="C9" i="26"/>
  <c r="C8" i="26"/>
  <c r="C7" i="26"/>
  <c r="C6" i="26"/>
  <c r="C10" i="25"/>
  <c r="C9" i="25"/>
  <c r="C8" i="25"/>
  <c r="C7" i="25"/>
  <c r="C6" i="25"/>
  <c r="C114" i="35"/>
  <c r="C113" i="35"/>
  <c r="C98" i="35"/>
  <c r="C112" i="35"/>
  <c r="C97" i="35"/>
  <c r="C110" i="35"/>
  <c r="C96" i="35"/>
  <c r="C109" i="35"/>
  <c r="C95" i="35"/>
  <c r="C111" i="35"/>
  <c r="C105" i="35"/>
  <c r="C108" i="35"/>
  <c r="C92" i="35"/>
  <c r="C107" i="35"/>
  <c r="C91" i="35"/>
  <c r="C87" i="35"/>
  <c r="C104" i="35"/>
  <c r="C90" i="35"/>
  <c r="C86" i="35"/>
  <c r="C101" i="35"/>
  <c r="C84" i="35"/>
  <c r="C106" i="35"/>
  <c r="C83" i="35"/>
  <c r="C103" i="35"/>
  <c r="C63" i="35"/>
  <c r="C85" i="35"/>
  <c r="C102" i="35"/>
  <c r="C62" i="35"/>
  <c r="C82" i="35"/>
  <c r="C61" i="35"/>
  <c r="C81" i="35"/>
  <c r="C60" i="35"/>
  <c r="C80" i="35"/>
  <c r="C67" i="35"/>
  <c r="C66" i="35"/>
  <c r="C40" i="35"/>
  <c r="C31" i="35"/>
  <c r="C41" i="35"/>
  <c r="C27" i="35"/>
  <c r="C77" i="35"/>
  <c r="C43" i="35"/>
  <c r="C34" i="35"/>
  <c r="C76" i="35"/>
  <c r="C45" i="35"/>
  <c r="C33" i="35"/>
  <c r="C75" i="35"/>
  <c r="C53" i="35"/>
  <c r="C26" i="35"/>
  <c r="C74" i="35"/>
  <c r="C46" i="35"/>
  <c r="C28" i="35"/>
  <c r="C73" i="35"/>
  <c r="C44" i="35"/>
  <c r="C32" i="35"/>
  <c r="C72" i="35"/>
  <c r="C52" i="35"/>
  <c r="C23" i="35"/>
  <c r="C71" i="35"/>
  <c r="C49" i="35"/>
  <c r="C21" i="35"/>
  <c r="C70" i="35"/>
  <c r="C42" i="35"/>
  <c r="C22" i="35"/>
  <c r="C51" i="35"/>
  <c r="C25" i="35"/>
  <c r="C50" i="35"/>
  <c r="C20" i="35"/>
  <c r="C120" i="35"/>
  <c r="C48" i="35"/>
  <c r="C17" i="35"/>
  <c r="C119" i="35"/>
  <c r="C57" i="35"/>
  <c r="C19" i="35"/>
  <c r="C118" i="35"/>
  <c r="C47" i="35"/>
  <c r="C18" i="35"/>
  <c r="C117" i="35"/>
  <c r="C54" i="35"/>
  <c r="C16" i="35"/>
  <c r="C12" i="35"/>
  <c r="C11" i="35"/>
  <c r="C10" i="35"/>
  <c r="C9" i="35"/>
  <c r="C8" i="35"/>
  <c r="C7" i="35"/>
  <c r="C114" i="21"/>
  <c r="C113" i="21"/>
  <c r="C111" i="21"/>
  <c r="C98" i="21"/>
  <c r="C112" i="21"/>
  <c r="C97" i="21"/>
  <c r="C110" i="21"/>
  <c r="C96" i="21"/>
  <c r="C109" i="21"/>
  <c r="C95" i="21"/>
  <c r="C108" i="21"/>
  <c r="C106" i="21"/>
  <c r="C104" i="21"/>
  <c r="C92" i="21"/>
  <c r="C105" i="21"/>
  <c r="C91" i="21"/>
  <c r="C107" i="21"/>
  <c r="C90" i="21"/>
  <c r="C87" i="21"/>
  <c r="C103" i="21"/>
  <c r="C86" i="21"/>
  <c r="C102" i="21"/>
  <c r="C84" i="21"/>
  <c r="C101" i="21"/>
  <c r="C63" i="21"/>
  <c r="C85" i="21"/>
  <c r="C62" i="21"/>
  <c r="C82" i="21"/>
  <c r="C61" i="21"/>
  <c r="C83" i="21"/>
  <c r="C60" i="21"/>
  <c r="C81" i="21"/>
  <c r="C67" i="21"/>
  <c r="C80" i="21"/>
  <c r="C66" i="21"/>
  <c r="C41" i="21"/>
  <c r="C40" i="21"/>
  <c r="C27" i="21"/>
  <c r="C77" i="21"/>
  <c r="C43" i="21"/>
  <c r="C37" i="21"/>
  <c r="C76" i="21"/>
  <c r="C42" i="21"/>
  <c r="C35" i="21"/>
  <c r="C75" i="21"/>
  <c r="C44" i="21"/>
  <c r="C34" i="21"/>
  <c r="C74" i="21"/>
  <c r="C45" i="21"/>
  <c r="C25" i="21"/>
  <c r="C73" i="21"/>
  <c r="C46" i="21"/>
  <c r="C22" i="21"/>
  <c r="C72" i="21"/>
  <c r="C47" i="21"/>
  <c r="C24" i="21"/>
  <c r="C71" i="21"/>
  <c r="C48" i="21"/>
  <c r="C23" i="21"/>
  <c r="C70" i="21"/>
  <c r="C51" i="21"/>
  <c r="C19" i="21"/>
  <c r="C50" i="21"/>
  <c r="C21" i="21"/>
  <c r="C49" i="21"/>
  <c r="C20" i="21"/>
  <c r="C120" i="21"/>
  <c r="C52" i="21"/>
  <c r="C18" i="21"/>
  <c r="C119" i="21"/>
  <c r="C57" i="21"/>
  <c r="C17" i="21"/>
  <c r="C118" i="21"/>
  <c r="C56" i="21"/>
  <c r="C16" i="21"/>
  <c r="C117" i="21"/>
  <c r="C53" i="21"/>
  <c r="C15" i="21"/>
  <c r="C11" i="21"/>
  <c r="C10" i="21"/>
  <c r="C9" i="21"/>
  <c r="C8" i="21"/>
  <c r="C7" i="21"/>
  <c r="C6" i="21"/>
  <c r="C6" i="34"/>
  <c r="C7" i="34"/>
  <c r="C8" i="34"/>
  <c r="C9" i="34"/>
  <c r="C10" i="34"/>
  <c r="C14" i="34"/>
  <c r="C35" i="34"/>
  <c r="D35" i="34"/>
  <c r="C15" i="34"/>
  <c r="C36" i="34"/>
  <c r="D36" i="34"/>
  <c r="C16" i="34"/>
  <c r="C33" i="34"/>
  <c r="D33" i="34"/>
  <c r="C17" i="34"/>
  <c r="C37" i="34"/>
  <c r="C18" i="34"/>
  <c r="C39" i="34"/>
  <c r="C19" i="34"/>
  <c r="C34" i="34"/>
  <c r="C38" i="34"/>
  <c r="C30" i="34"/>
  <c r="C29" i="34"/>
  <c r="C64" i="34"/>
  <c r="C31" i="34"/>
  <c r="C63" i="34"/>
  <c r="C32" i="34"/>
  <c r="C68" i="34"/>
  <c r="C28" i="34"/>
  <c r="C65" i="34"/>
  <c r="C27" i="34"/>
  <c r="C66" i="34"/>
  <c r="C26" i="34"/>
  <c r="C67" i="34"/>
  <c r="C25" i="34"/>
  <c r="C69" i="34"/>
  <c r="C24" i="34"/>
  <c r="C23" i="34"/>
  <c r="C48" i="34"/>
  <c r="C22" i="34"/>
  <c r="C49" i="34"/>
  <c r="C77" i="34"/>
  <c r="C78" i="34"/>
  <c r="C79" i="34"/>
  <c r="C42" i="34"/>
  <c r="C84" i="34"/>
  <c r="C80" i="34"/>
  <c r="C43" i="34"/>
  <c r="C83" i="34"/>
  <c r="C44" i="34"/>
  <c r="C88" i="34"/>
  <c r="C45" i="34"/>
  <c r="C85" i="34"/>
  <c r="C86" i="34"/>
  <c r="C87" i="34"/>
  <c r="C72" i="34"/>
  <c r="C90" i="34"/>
  <c r="C73" i="34"/>
  <c r="C89" i="34"/>
  <c r="C74" i="34"/>
  <c r="C91" i="34"/>
  <c r="C93" i="34"/>
  <c r="C92" i="34"/>
  <c r="C94" i="34"/>
  <c r="C95" i="34"/>
  <c r="C96" i="34"/>
  <c r="C6" i="29"/>
  <c r="C7" i="29"/>
  <c r="C8" i="29"/>
  <c r="C9" i="29"/>
  <c r="C10" i="29"/>
  <c r="C14" i="29"/>
  <c r="C79" i="29"/>
  <c r="C52" i="29"/>
  <c r="C15" i="29"/>
  <c r="C80" i="29"/>
  <c r="C53" i="29"/>
  <c r="C16" i="29"/>
  <c r="C81" i="29"/>
  <c r="C54" i="29"/>
  <c r="C17" i="29"/>
  <c r="C82" i="29"/>
  <c r="C18" i="29"/>
  <c r="C19" i="29"/>
  <c r="C28" i="29"/>
  <c r="C32" i="29"/>
  <c r="C29" i="29"/>
  <c r="C33" i="29"/>
  <c r="C42" i="29"/>
  <c r="C34" i="29"/>
  <c r="C43" i="29"/>
  <c r="C35" i="29"/>
  <c r="C57" i="29"/>
  <c r="C44" i="29"/>
  <c r="C36" i="29"/>
  <c r="C58" i="29"/>
  <c r="C45" i="29"/>
  <c r="C37" i="29"/>
  <c r="C59" i="29"/>
  <c r="C46" i="29"/>
  <c r="C38" i="29"/>
  <c r="C60" i="29"/>
  <c r="C47" i="29"/>
  <c r="C39" i="29"/>
  <c r="C48" i="29"/>
  <c r="C49" i="29"/>
  <c r="C64" i="29"/>
  <c r="C22" i="29"/>
  <c r="C63" i="29"/>
  <c r="C23" i="29"/>
  <c r="C67" i="29"/>
  <c r="C85" i="29"/>
  <c r="D85" i="29"/>
  <c r="C24" i="29"/>
  <c r="C65" i="29"/>
  <c r="C86" i="29"/>
  <c r="C25" i="29"/>
  <c r="C66" i="29"/>
  <c r="C87" i="29"/>
  <c r="C68" i="29"/>
  <c r="C88" i="29"/>
  <c r="C69" i="29"/>
  <c r="C89" i="29"/>
  <c r="C70" i="29"/>
  <c r="C71" i="29"/>
  <c r="C72" i="29"/>
  <c r="C73" i="29"/>
  <c r="C74" i="29"/>
  <c r="C75" i="29"/>
  <c r="C76" i="29"/>
  <c r="C6" i="24"/>
  <c r="C7" i="24"/>
  <c r="C8" i="24"/>
  <c r="C9" i="24"/>
  <c r="C10" i="24"/>
  <c r="C14" i="24"/>
  <c r="C35" i="24"/>
  <c r="D35" i="24"/>
  <c r="C15" i="24"/>
  <c r="C38" i="24"/>
  <c r="D38" i="24"/>
  <c r="C16" i="24"/>
  <c r="C36" i="24"/>
  <c r="D36" i="24"/>
  <c r="C17" i="24"/>
  <c r="C37" i="24"/>
  <c r="C18" i="24"/>
  <c r="C39" i="24"/>
  <c r="C19" i="24"/>
  <c r="C34" i="24"/>
  <c r="C33" i="24"/>
  <c r="C32" i="24"/>
  <c r="C62" i="24"/>
  <c r="C31" i="24"/>
  <c r="C63" i="24"/>
  <c r="C30" i="24"/>
  <c r="C65" i="24"/>
  <c r="C27" i="24"/>
  <c r="C64" i="24"/>
  <c r="C29" i="24"/>
  <c r="C66" i="24"/>
  <c r="C28" i="24"/>
  <c r="C67" i="24"/>
  <c r="C26" i="24"/>
  <c r="C68" i="24"/>
  <c r="C25" i="24"/>
  <c r="C69" i="24"/>
  <c r="C24" i="24"/>
  <c r="C23" i="24"/>
  <c r="C22" i="24"/>
  <c r="C83" i="24"/>
  <c r="C84" i="24"/>
  <c r="C87" i="24"/>
  <c r="C85" i="24"/>
  <c r="C86" i="24"/>
  <c r="C88" i="24"/>
  <c r="C90" i="24"/>
  <c r="C89" i="24"/>
  <c r="C91" i="24"/>
  <c r="C92" i="24"/>
  <c r="C94" i="24"/>
  <c r="C77" i="24"/>
  <c r="C93" i="24"/>
  <c r="C78" i="24"/>
  <c r="C95" i="24"/>
  <c r="C79" i="24"/>
  <c r="C96" i="24"/>
  <c r="C80" i="24"/>
  <c r="C8" i="9"/>
  <c r="C102" i="20"/>
  <c r="C103" i="20"/>
  <c r="C104" i="20"/>
  <c r="C105" i="20"/>
  <c r="C106" i="20"/>
  <c r="C107" i="20"/>
  <c r="C108" i="20"/>
  <c r="C109" i="20"/>
  <c r="C110" i="20"/>
  <c r="C111" i="20"/>
  <c r="C112" i="20"/>
  <c r="C114" i="20"/>
  <c r="C113" i="20"/>
  <c r="C101" i="20"/>
  <c r="C81" i="20"/>
  <c r="C82" i="20"/>
  <c r="C85" i="20"/>
  <c r="C83" i="20"/>
  <c r="C86" i="20"/>
  <c r="C84" i="20"/>
  <c r="C87" i="20"/>
  <c r="C80" i="20"/>
  <c r="C96" i="20"/>
  <c r="C97" i="20"/>
  <c r="C98" i="20"/>
  <c r="C95" i="20"/>
  <c r="C91" i="20"/>
  <c r="C92" i="20"/>
  <c r="C90" i="20"/>
  <c r="C67" i="20"/>
  <c r="C66" i="20"/>
  <c r="C61" i="20"/>
  <c r="C62" i="20"/>
  <c r="C63" i="20"/>
  <c r="C60" i="20"/>
  <c r="C71" i="20"/>
  <c r="C72" i="20"/>
  <c r="C73" i="20"/>
  <c r="C74" i="20"/>
  <c r="C75" i="20"/>
  <c r="C76" i="20"/>
  <c r="C77" i="20"/>
  <c r="C70" i="20"/>
  <c r="C118" i="20"/>
  <c r="C119" i="20"/>
  <c r="C120" i="20"/>
  <c r="C117" i="20"/>
  <c r="C57" i="20"/>
  <c r="C53" i="20"/>
  <c r="C52" i="20"/>
  <c r="C50" i="20"/>
  <c r="C49" i="20"/>
  <c r="C48" i="20"/>
  <c r="C51" i="20"/>
  <c r="C46" i="20"/>
  <c r="C47" i="20"/>
  <c r="C44" i="20"/>
  <c r="C43" i="20"/>
  <c r="C45" i="20"/>
  <c r="C42" i="20"/>
  <c r="C41" i="20"/>
  <c r="C40" i="20"/>
  <c r="C55" i="20"/>
  <c r="C35" i="20"/>
  <c r="C20" i="20"/>
  <c r="C17" i="20"/>
  <c r="C18" i="20"/>
  <c r="C19" i="20"/>
  <c r="C23" i="20"/>
  <c r="C21" i="20"/>
  <c r="C22" i="20"/>
  <c r="C24" i="20"/>
  <c r="C25" i="20"/>
  <c r="C26" i="20"/>
  <c r="C27" i="20"/>
  <c r="C28" i="20"/>
  <c r="C31" i="20"/>
  <c r="C29" i="20"/>
  <c r="C30" i="20"/>
  <c r="C33" i="20"/>
  <c r="C34" i="20"/>
  <c r="C32" i="20"/>
  <c r="C11" i="20"/>
  <c r="C10" i="20"/>
  <c r="C9" i="20"/>
  <c r="C8" i="20"/>
  <c r="C7" i="20"/>
  <c r="C6" i="20"/>
  <c r="C37" i="4"/>
  <c r="C36" i="4"/>
  <c r="C35" i="4"/>
  <c r="C50" i="4"/>
  <c r="C40" i="4"/>
  <c r="C49" i="4"/>
  <c r="C48" i="4"/>
  <c r="C34" i="4"/>
  <c r="C41" i="4"/>
  <c r="C47" i="4"/>
  <c r="C46" i="4"/>
  <c r="C38" i="4"/>
  <c r="C45" i="4"/>
  <c r="C44" i="4"/>
  <c r="C43" i="4"/>
  <c r="C42" i="4"/>
  <c r="C39" i="4"/>
  <c r="C33" i="4"/>
  <c r="C7" i="19"/>
  <c r="C8" i="19"/>
  <c r="C9" i="19"/>
  <c r="C10" i="19"/>
  <c r="C11" i="19"/>
  <c r="C12" i="19"/>
  <c r="C13" i="19"/>
  <c r="C14" i="19"/>
  <c r="C15" i="19"/>
  <c r="C16" i="19"/>
  <c r="C17" i="19"/>
  <c r="C18" i="19"/>
  <c r="C19" i="19"/>
  <c r="C6" i="19"/>
  <c r="C7" i="17"/>
  <c r="C8" i="17"/>
  <c r="C9" i="17"/>
  <c r="C10" i="17"/>
  <c r="C11" i="17"/>
  <c r="C12" i="17"/>
  <c r="C13" i="17"/>
  <c r="C6" i="17"/>
  <c r="C6" i="16"/>
  <c r="C7" i="16"/>
  <c r="C8" i="16"/>
  <c r="C5" i="16"/>
  <c r="C19" i="8"/>
  <c r="C18" i="8"/>
  <c r="C15" i="8"/>
  <c r="C8" i="7"/>
  <c r="C9" i="7"/>
  <c r="C10" i="7"/>
  <c r="C11" i="7"/>
  <c r="C12" i="7"/>
  <c r="C13" i="7"/>
  <c r="C14" i="7"/>
  <c r="C15" i="7"/>
  <c r="C16" i="7"/>
  <c r="C17" i="7"/>
  <c r="C18" i="7"/>
  <c r="C19" i="7"/>
  <c r="C7" i="7"/>
  <c r="C9" i="9"/>
  <c r="C7" i="9"/>
  <c r="C6" i="9"/>
  <c r="C22" i="8"/>
  <c r="C23" i="8"/>
  <c r="C20" i="8"/>
  <c r="C17" i="8"/>
  <c r="C16" i="8"/>
  <c r="C14" i="8"/>
  <c r="C13" i="8"/>
  <c r="C12" i="8"/>
  <c r="C11" i="8"/>
  <c r="C10" i="8"/>
  <c r="C9" i="8"/>
  <c r="C8" i="8"/>
  <c r="C7" i="8"/>
  <c r="C6" i="8"/>
  <c r="C21" i="8"/>
  <c r="C35" i="7" l="1"/>
  <c r="C34" i="7"/>
  <c r="C33" i="7"/>
  <c r="C32" i="7"/>
  <c r="C31" i="7"/>
  <c r="C30" i="7"/>
  <c r="C29" i="7"/>
  <c r="C28" i="7"/>
  <c r="C27" i="7"/>
  <c r="C26" i="7"/>
  <c r="C25" i="7"/>
  <c r="C24" i="7"/>
  <c r="C23" i="7"/>
  <c r="C8" i="5"/>
  <c r="C7" i="5"/>
  <c r="C6" i="5"/>
  <c r="C5" i="5"/>
  <c r="C9" i="5"/>
  <c r="C8" i="4"/>
  <c r="C9" i="4"/>
  <c r="C10" i="4"/>
  <c r="C11" i="4"/>
  <c r="C12" i="4"/>
  <c r="C13" i="4"/>
  <c r="C14" i="4"/>
  <c r="C15" i="4"/>
  <c r="C16" i="4"/>
  <c r="C22" i="4"/>
  <c r="C19" i="4"/>
  <c r="C23" i="4"/>
  <c r="C20" i="4"/>
  <c r="C21" i="4"/>
  <c r="C18" i="4"/>
  <c r="C17" i="4"/>
  <c r="C27" i="4"/>
  <c r="C24" i="4"/>
  <c r="C25" i="4"/>
  <c r="C26" i="4"/>
  <c r="C28" i="4"/>
  <c r="C29" i="4"/>
  <c r="C7" i="4"/>
  <c r="C6" i="6"/>
  <c r="C7" i="6"/>
  <c r="C8" i="6"/>
  <c r="C9" i="6"/>
  <c r="C10" i="6"/>
  <c r="C5" i="6"/>
  <c r="C11" i="6" s="1"/>
  <c r="B11" i="6"/>
</calcChain>
</file>

<file path=xl/sharedStrings.xml><?xml version="1.0" encoding="utf-8"?>
<sst xmlns="http://schemas.openxmlformats.org/spreadsheetml/2006/main" count="2114" uniqueCount="374">
  <si>
    <t>Contents page</t>
  </si>
  <si>
    <t xml:space="preserve">For any questions on these tables, please contact the NCVO policy team: policy@ncvo.org.uk </t>
  </si>
  <si>
    <t>For press enquiries, please contact communications@ncvo.org.uk</t>
  </si>
  <si>
    <t>Table number</t>
  </si>
  <si>
    <t>Name of table</t>
  </si>
  <si>
    <t>Methodology</t>
  </si>
  <si>
    <t>Definitions</t>
  </si>
  <si>
    <t>A1</t>
  </si>
  <si>
    <t>Size of responding organisations</t>
  </si>
  <si>
    <t>A2</t>
  </si>
  <si>
    <t>Services delivered by responding organisations</t>
  </si>
  <si>
    <t>A3</t>
  </si>
  <si>
    <t>Number of responding organisations run by and for the communities they work with</t>
  </si>
  <si>
    <t>A4</t>
  </si>
  <si>
    <t>Location of responding organisations</t>
  </si>
  <si>
    <t xml:space="preserve">Commissioning </t>
  </si>
  <si>
    <t>B1</t>
  </si>
  <si>
    <t>Commissioners of responding organisations</t>
  </si>
  <si>
    <t>Back to contents page</t>
  </si>
  <si>
    <t>Size</t>
  </si>
  <si>
    <t>Number of respondents</t>
  </si>
  <si>
    <t>% of respondents</t>
  </si>
  <si>
    <t>Less than £10,000 (micro)</t>
  </si>
  <si>
    <t>£10k to £100k (small)</t>
  </si>
  <si>
    <t>£100k to £1m (medim)</t>
  </si>
  <si>
    <t>£1m to £10m (large)</t>
  </si>
  <si>
    <t>£10m to £100m (major)</t>
  </si>
  <si>
    <t>More than £100m (super-major)</t>
  </si>
  <si>
    <t>Total</t>
  </si>
  <si>
    <t>% of the overall sector</t>
  </si>
  <si>
    <t>NB: respondents could select as many types of services as were relevant, and were able to write in their own response if needed.</t>
  </si>
  <si>
    <t>Type of service</t>
  </si>
  <si>
    <t>Number of organisations delivering services</t>
  </si>
  <si>
    <t>% of respondents delivering services</t>
  </si>
  <si>
    <t>Health</t>
  </si>
  <si>
    <t>Social care</t>
  </si>
  <si>
    <t>Disability</t>
  </si>
  <si>
    <t>Youth services</t>
  </si>
  <si>
    <t>Employability</t>
  </si>
  <si>
    <t>Domestic violence and sexual abuse</t>
  </si>
  <si>
    <t>Housing and accommodation</t>
  </si>
  <si>
    <t>Homelessness support services</t>
  </si>
  <si>
    <t>Legal and advocacy</t>
  </si>
  <si>
    <t>Support for people in the criminal justice system</t>
  </si>
  <si>
    <t>Families and children</t>
  </si>
  <si>
    <t>Advice</t>
  </si>
  <si>
    <t>Asylum seekers and refugees</t>
  </si>
  <si>
    <t>Community</t>
  </si>
  <si>
    <t>Infrastructure</t>
  </si>
  <si>
    <t>Number of responding organisations</t>
  </si>
  <si>
    <t>% of responding organisations</t>
  </si>
  <si>
    <t>LGBTQ+</t>
  </si>
  <si>
    <t>Women</t>
  </si>
  <si>
    <t>Global majority</t>
  </si>
  <si>
    <t>Deaf and/or Disabled people</t>
  </si>
  <si>
    <t>People who use their services</t>
  </si>
  <si>
    <t>NB: respondents could select as many locations as were relevant.</t>
  </si>
  <si>
    <t>Location</t>
  </si>
  <si>
    <t>Northern Ireland</t>
  </si>
  <si>
    <t>Scotland</t>
  </si>
  <si>
    <t>Wales</t>
  </si>
  <si>
    <t>England</t>
  </si>
  <si>
    <t>North West</t>
  </si>
  <si>
    <t>North East</t>
  </si>
  <si>
    <t>Yorkshire</t>
  </si>
  <si>
    <t>East Midlands</t>
  </si>
  <si>
    <t>West Midlands</t>
  </si>
  <si>
    <t>East of England</t>
  </si>
  <si>
    <t>South East</t>
  </si>
  <si>
    <t>South West</t>
  </si>
  <si>
    <t>London</t>
  </si>
  <si>
    <t>% of overall voluntary sector</t>
  </si>
  <si>
    <t>Number of organisations</t>
  </si>
  <si>
    <t>NHS Wales</t>
  </si>
  <si>
    <t>Schools</t>
  </si>
  <si>
    <t>Welsh Health Boards</t>
  </si>
  <si>
    <t>Primary Care Networks</t>
  </si>
  <si>
    <t>Combined Authority</t>
  </si>
  <si>
    <t>Metropolitan borough</t>
  </si>
  <si>
    <t>London borough</t>
  </si>
  <si>
    <t>NHS England</t>
  </si>
  <si>
    <t>County council</t>
  </si>
  <si>
    <t>District, borough, or city council</t>
  </si>
  <si>
    <t>Commissioner</t>
  </si>
  <si>
    <t>% of organisations</t>
  </si>
  <si>
    <t>NB: respondents could select as many commissioners as were relevant.</t>
  </si>
  <si>
    <t>Central government departments</t>
  </si>
  <si>
    <t>Have handed back, or considering handing back</t>
  </si>
  <si>
    <t>Have not retendered, or considering not retendering</t>
  </si>
  <si>
    <t>No impact</t>
  </si>
  <si>
    <t>Have not bid for a new service, or are considering not bidding</t>
  </si>
  <si>
    <t>Number of responding organisations changing or considering changing their participation in public service delivery</t>
  </si>
  <si>
    <t>NB: respondents could select as many responses as were relevant.</t>
  </si>
  <si>
    <t>B2</t>
  </si>
  <si>
    <t>Impact on participation in public service delivery</t>
  </si>
  <si>
    <t>Community transport</t>
  </si>
  <si>
    <t>Nature, environment, and climate change</t>
  </si>
  <si>
    <t>Substance use and addiction</t>
  </si>
  <si>
    <t>Education, training, and skills</t>
  </si>
  <si>
    <t>Grant and contract uplifts</t>
  </si>
  <si>
    <t>C1</t>
  </si>
  <si>
    <t>When grant/contract values last covered the true costs of delivering services</t>
  </si>
  <si>
    <t>C2</t>
  </si>
  <si>
    <t>Organisations receiving uplifts since April 2021</t>
  </si>
  <si>
    <t>C3</t>
  </si>
  <si>
    <t>When did your grants/contracts last cover the true cost of delivery?</t>
  </si>
  <si>
    <t>Number</t>
  </si>
  <si>
    <t>Before 2010</t>
  </si>
  <si>
    <t>2010-2012</t>
  </si>
  <si>
    <t>2012-2015</t>
  </si>
  <si>
    <t>2015-2017</t>
  </si>
  <si>
    <t>2017-2020</t>
  </si>
  <si>
    <t>2021-present</t>
  </si>
  <si>
    <t>Never</t>
  </si>
  <si>
    <t>Don't know</t>
  </si>
  <si>
    <t>How many of your grants/contracts have been uplifted since 1 April 2021?</t>
  </si>
  <si>
    <t>All</t>
  </si>
  <si>
    <t>A majority</t>
  </si>
  <si>
    <t>A minority</t>
  </si>
  <si>
    <t>None</t>
  </si>
  <si>
    <t>Average uplifts received in 2023</t>
  </si>
  <si>
    <t>Average percentage uplift from 2022 to 2023</t>
  </si>
  <si>
    <t>Integrated care systems/boards</t>
  </si>
  <si>
    <t>Police and crime commissioners</t>
  </si>
  <si>
    <t>Unitary authority</t>
  </si>
  <si>
    <t>Charitable funders</t>
  </si>
  <si>
    <t>His Majesty's Prison and Probation Service</t>
  </si>
  <si>
    <t>Subcontractor</t>
  </si>
  <si>
    <t>Arms-length public body</t>
  </si>
  <si>
    <t>Community support</t>
  </si>
  <si>
    <t>Impacts of inflation</t>
  </si>
  <si>
    <t>Ability to meet demand for commissioned services</t>
  </si>
  <si>
    <t>Uplifts received to match NHS pay increases</t>
  </si>
  <si>
    <t>C4</t>
  </si>
  <si>
    <t>Staff and volunteer recruitment and retention</t>
  </si>
  <si>
    <t>Ability to pay statutory minimum wage, national living wage, and voluntary real living wage</t>
  </si>
  <si>
    <t>Subsidising grants/contracts</t>
  </si>
  <si>
    <t>D1</t>
  </si>
  <si>
    <t>D2</t>
  </si>
  <si>
    <t>D3</t>
  </si>
  <si>
    <t>D4</t>
  </si>
  <si>
    <t>D5</t>
  </si>
  <si>
    <t>If you are funded by NHS bodies to deliver services, have you received an uplift specifically to be used to match the statutory increase in pay for NHS staff without also being expected to deliver more?</t>
  </si>
  <si>
    <t>Yes</t>
  </si>
  <si>
    <t>No</t>
  </si>
  <si>
    <t>Are you able to meet current demand for your funded services within the value of your grants/contracts?</t>
  </si>
  <si>
    <t>What impact has grant/contract underfunding had on recruitment and retention of staff and volunteers?</t>
  </si>
  <si>
    <t>More difficult to recruit/retain staff</t>
  </si>
  <si>
    <t>More difficult to recruit/retain volunteers</t>
  </si>
  <si>
    <t>Has contract/grant underfunding made it more difficult for you to pay the statutory national minimum wage, the national living wage, or the voluntary real living wage, or do you expect this to become more difficult in the next 12 months?</t>
  </si>
  <si>
    <t>Yes - it is or will be more difficult to pay the statutory national minimum wage or national living wage</t>
  </si>
  <si>
    <t>Yes - it is or will be more difficult to pay the voluntary real living wage</t>
  </si>
  <si>
    <t>No - paying the statutory minimum wage or national living wage is not a problem for us</t>
  </si>
  <si>
    <t>No - paying the voluntary real living wage is not a problem for us</t>
  </si>
  <si>
    <t>Are you subsidising contracted/grant-funded services?</t>
  </si>
  <si>
    <t>Yes - with donations and legacies</t>
  </si>
  <si>
    <t>Yes - with enterprise and trading</t>
  </si>
  <si>
    <t>Yes - with a new or increased charge for people who use our services</t>
  </si>
  <si>
    <t>Yes - with investment</t>
  </si>
  <si>
    <t>No - we are not subsidising our grants/contracts</t>
  </si>
  <si>
    <t>Yes - with reserves</t>
  </si>
  <si>
    <t>Yes - with other charitable income</t>
  </si>
  <si>
    <t>Yes - with income from other grants/contracts</t>
  </si>
  <si>
    <t>What, if anything, have you needed to do to run your services within the financial limitations of your contracts/grants?</t>
  </si>
  <si>
    <t>Reduced number of referrals that we accept</t>
  </si>
  <si>
    <t>Reduced staff numbers</t>
  </si>
  <si>
    <t>Changed types of referrals that we accept</t>
  </si>
  <si>
    <t>Expanded duties of volunteers</t>
  </si>
  <si>
    <t>Taken on more volunteers</t>
  </si>
  <si>
    <t>Reduced energy usage</t>
  </si>
  <si>
    <t>Increased fundraising activities</t>
  </si>
  <si>
    <t>Reduced opening hours</t>
  </si>
  <si>
    <t>Working conditions are compromised (e.g., staff working unpaid hours)</t>
  </si>
  <si>
    <t>We have not needed to do anything</t>
  </si>
  <si>
    <t>Introduced waiting lists or increased waiting times</t>
  </si>
  <si>
    <t>Changed delivery model (e.g., delivering services virtually)</t>
  </si>
  <si>
    <t>Closed premises</t>
  </si>
  <si>
    <t>Closed services</t>
  </si>
  <si>
    <t>Characteristics of responding organisations</t>
  </si>
  <si>
    <t>Religion</t>
  </si>
  <si>
    <t>Grant-making foundations</t>
  </si>
  <si>
    <t>Parent Teacher Associations</t>
  </si>
  <si>
    <t>Development</t>
  </si>
  <si>
    <t>Village halls</t>
  </si>
  <si>
    <t>International</t>
  </si>
  <si>
    <t>Scout groups and youth clubs</t>
  </si>
  <si>
    <t>Playgroups and nurseries</t>
  </si>
  <si>
    <t>Research</t>
  </si>
  <si>
    <t>Culture and recreation (sport, arts &amp; culture)</t>
  </si>
  <si>
    <t>Sport</t>
  </si>
  <si>
    <t>Arts &amp; culture</t>
  </si>
  <si>
    <t>Education (education, training, and skills)</t>
  </si>
  <si>
    <t>Employment and training (employability)</t>
  </si>
  <si>
    <t>Law and advocacy (legal and advocacy)</t>
  </si>
  <si>
    <t>Housing (homelessness support services, housing and accommodation)</t>
  </si>
  <si>
    <t>Mental health</t>
  </si>
  <si>
    <t>Umbrella bodies (infrastructure)</t>
  </si>
  <si>
    <t>Health (health, mental health)</t>
  </si>
  <si>
    <t>Environment (Nature, environment, and climate change)</t>
  </si>
  <si>
    <t>Social services (advice, support for people in the criminal justice system, social care, disability, youth services, domestic violence and sexual abuse, community support, asylum seekers and refugees, families and children, substance use and addiction, carers, community transport)</t>
  </si>
  <si>
    <t>NB: the responses that were offered, and that were added based on free-text responses, do not correspond exactly to the International Classification of Non-profit Organisations (ICNPO). We have grouped survey responses within ICNPO categories, some of which were not relevant for our purposes.</t>
  </si>
  <si>
    <t>% of survey respondents</t>
  </si>
  <si>
    <t>% of the voluntary sector in 2020/21</t>
  </si>
  <si>
    <t>ICNPO categories (and corresponding survey categories)</t>
  </si>
  <si>
    <t>Average uplift received</t>
  </si>
  <si>
    <t>E1</t>
  </si>
  <si>
    <t>E2</t>
  </si>
  <si>
    <t>E3</t>
  </si>
  <si>
    <t>Deep dive: by size of organisation</t>
  </si>
  <si>
    <t>Deep dive: by type of service</t>
  </si>
  <si>
    <t>Deep dive: by type of commissioner</t>
  </si>
  <si>
    <t>Medium organisations</t>
  </si>
  <si>
    <t xml:space="preserve">% of medium respondents </t>
  </si>
  <si>
    <t>% of all respondents</t>
  </si>
  <si>
    <t>Number of medium respondents</t>
  </si>
  <si>
    <t>% of medium respondents</t>
  </si>
  <si>
    <t>Large organisations</t>
  </si>
  <si>
    <t>Number of large respondents</t>
  </si>
  <si>
    <t xml:space="preserve">% of large respondents </t>
  </si>
  <si>
    <t>Small organisations</t>
  </si>
  <si>
    <t>Number of small respondents</t>
  </si>
  <si>
    <t xml:space="preserve">% of small respondents </t>
  </si>
  <si>
    <t>Top 5 services delivered by respondents</t>
  </si>
  <si>
    <t>Number of health respondents</t>
  </si>
  <si>
    <t xml:space="preserve">% of health respondents </t>
  </si>
  <si>
    <t>Number of social care respondents</t>
  </si>
  <si>
    <t xml:space="preserve">% of social care respondents </t>
  </si>
  <si>
    <t>Services for disabled people</t>
  </si>
  <si>
    <t>Number of services for disabled people respondents</t>
  </si>
  <si>
    <t xml:space="preserve">% of services for disabled people respondents </t>
  </si>
  <si>
    <t>Number of youth services respondents</t>
  </si>
  <si>
    <t xml:space="preserve">% of youth services respondents </t>
  </si>
  <si>
    <t>Number of employability respondents</t>
  </si>
  <si>
    <t xml:space="preserve">% of employability respondents </t>
  </si>
  <si>
    <t>Number of respondents commissioned</t>
  </si>
  <si>
    <t>% of respondents commissioned</t>
  </si>
  <si>
    <t>Top 6 types of commissioner</t>
  </si>
  <si>
    <t>All types of local government, including Combined Authorities</t>
  </si>
  <si>
    <t xml:space="preserve">% of respondents </t>
  </si>
  <si>
    <t>£100k to £1m (medium)</t>
  </si>
  <si>
    <t>Relationship with commissioner(s)</t>
  </si>
  <si>
    <t>Very good</t>
  </si>
  <si>
    <t>Good</t>
  </si>
  <si>
    <t>Neither good nor poor</t>
  </si>
  <si>
    <t>Poor</t>
  </si>
  <si>
    <t>Very poor</t>
  </si>
  <si>
    <t>County councils</t>
  </si>
  <si>
    <t>District, borough, or city councils</t>
  </si>
  <si>
    <t>Organisations run by and for the communites they work with</t>
  </si>
  <si>
    <t>Deaf and/or disabled people</t>
  </si>
  <si>
    <t>People from the global majority</t>
  </si>
  <si>
    <t>LGBTQ+ people</t>
  </si>
  <si>
    <t>Number of  respondents</t>
  </si>
  <si>
    <t>Deep dive: 'by and for' organisations</t>
  </si>
  <si>
    <t>F1</t>
  </si>
  <si>
    <t>F2</t>
  </si>
  <si>
    <t>F3</t>
  </si>
  <si>
    <t>F4</t>
  </si>
  <si>
    <t>F5</t>
  </si>
  <si>
    <t>G1</t>
  </si>
  <si>
    <t>G2</t>
  </si>
  <si>
    <t>G3</t>
  </si>
  <si>
    <t>G4</t>
  </si>
  <si>
    <t>G5</t>
  </si>
  <si>
    <t>H1</t>
  </si>
  <si>
    <t>Deep dive: medium organisations</t>
  </si>
  <si>
    <t>Deep dive: large organisations</t>
  </si>
  <si>
    <t>Deep dive: organisations delivering health services</t>
  </si>
  <si>
    <t>Deep dive: organisations delivering social care services</t>
  </si>
  <si>
    <t>Deep dive: organisations delivering services for disabled people</t>
  </si>
  <si>
    <t>Deep dive: organisations delivering youth services</t>
  </si>
  <si>
    <t>B3</t>
  </si>
  <si>
    <t>Relationships with commissioners</t>
  </si>
  <si>
    <t>How would you describe your relationship(s) with commissioners?</t>
  </si>
  <si>
    <t>Very good – our relationship is collaborative and strategic, and built on honest communication, mutual respect, and well-defined common goals</t>
  </si>
  <si>
    <t>Good – for example, our commissioner(s) do their best to collaborate with us and plan together for the longer term</t>
  </si>
  <si>
    <t>Neither good nor poor – our relationship does not get in the way of us providing a good service</t>
  </si>
  <si>
    <t>Poor – for example, our relationship feels ‘top down’ and commercially driven, we don’t work together to plan for the future</t>
  </si>
  <si>
    <t>Very poor – for example, there are failures of communication that get in the way of us providing a good service</t>
  </si>
  <si>
    <t>NB: respondents could select as many responses as were relevant, as they may work with more than one commissioner.</t>
  </si>
  <si>
    <t>Carer support</t>
  </si>
  <si>
    <t>People who use your services</t>
  </si>
  <si>
    <t>NB: selecting 'England' indicates that the respondent operates across the whole of England. England therefore appears to be underrepresented relative to the overall voluntary sector, but this is not a like-for-like comparison.</t>
  </si>
  <si>
    <t>Yorkshire and the Humber</t>
  </si>
  <si>
    <t>Number of all respondents</t>
  </si>
  <si>
    <t>Number of respondents commissioned by health bodies</t>
  </si>
  <si>
    <t>% of respondents commissioned by health bodies</t>
  </si>
  <si>
    <t>Organisational changes to mitigate impacts of underfunded grants/contracts</t>
  </si>
  <si>
    <t>Deep dive: small organisations</t>
  </si>
  <si>
    <t>Deep dive: all types of local government, including Combined Authorities</t>
  </si>
  <si>
    <t>Deep dive: organisations delivering employability services</t>
  </si>
  <si>
    <t>Deep dive: district, borough, or city councils</t>
  </si>
  <si>
    <t>Deep dive: county councils</t>
  </si>
  <si>
    <t>NHS England and integrated care systems</t>
  </si>
  <si>
    <t>Deep dive: NHS England and integrated care systems</t>
  </si>
  <si>
    <t>Deep dive: central government departments</t>
  </si>
  <si>
    <t>Deep dive: Organisations run by and for people who use their services</t>
  </si>
  <si>
    <t>Carers support</t>
  </si>
  <si>
    <t>NHS England and/or integrated care systems/boards</t>
  </si>
  <si>
    <t>Top 5 types of commissioner</t>
  </si>
  <si>
    <t>The data in these tables are taken from a survey carried out by NCVO between 1 August and 8 September 2023.</t>
  </si>
  <si>
    <t>It is important to note that the survey was not representative of the overall voluntary sector. The data should therefore be interpreted with caution. It represents a snapshot of respondents' experiences in autumn 2023.</t>
  </si>
  <si>
    <t>Income bands</t>
  </si>
  <si>
    <t>Income</t>
  </si>
  <si>
    <t>Income bands name</t>
  </si>
  <si>
    <t>Less than £10,000</t>
  </si>
  <si>
    <t>Micro</t>
  </si>
  <si>
    <t>£10,000 to £100,000</t>
  </si>
  <si>
    <t>Small</t>
  </si>
  <si>
    <t>£100,000 to £1m</t>
  </si>
  <si>
    <t>Medium</t>
  </si>
  <si>
    <t>£1m to £10m</t>
  </si>
  <si>
    <t>Large</t>
  </si>
  <si>
    <t>£10m to £100m</t>
  </si>
  <si>
    <t>Major</t>
  </si>
  <si>
    <t>More than £100m</t>
  </si>
  <si>
    <t>Super-major</t>
  </si>
  <si>
    <t>Subsectors</t>
  </si>
  <si>
    <t>Within the Almanac we use the International Classification of Non-profit Organisations (ICNPO) to describe the activities of voluntary organisations. Organisations are classified into 18 subsectors.</t>
  </si>
  <si>
    <t>Subsector</t>
  </si>
  <si>
    <t>Types of organisations included</t>
  </si>
  <si>
    <t>Culture and recreation</t>
  </si>
  <si>
    <t>Arts and architecture, historical and humanistic societies, sports clubs</t>
  </si>
  <si>
    <t>Economic, social and community development within UK communities (eg credit and savings associations, organisations that aim to improve public wellbeing)</t>
  </si>
  <si>
    <t>Education</t>
  </si>
  <si>
    <t>Vocational/technical schools, adult/continuing education</t>
  </si>
  <si>
    <t>Employment and training</t>
  </si>
  <si>
    <t>Job training programmes, vocational counselling and guidance</t>
  </si>
  <si>
    <t>Environment</t>
  </si>
  <si>
    <t>Animal protection and welfare, natural resources conservation, wildlife preservation and protection</t>
  </si>
  <si>
    <t>Charitable foundations or trusts</t>
  </si>
  <si>
    <t>Hospitals, public health and wellness education, rehabilitation services</t>
  </si>
  <si>
    <t>Housing</t>
  </si>
  <si>
    <t>Organisations providing shelter or short-term accommodation, working in homelessness</t>
  </si>
  <si>
    <t>International development organisations, international human rights and peace organisations, exchange/friendship/cultural programmes</t>
  </si>
  <si>
    <t>Law and advocacy</t>
  </si>
  <si>
    <t>Advocacy organisations, civil rights associations</t>
  </si>
  <si>
    <t>Parent-teacher associations</t>
  </si>
  <si>
    <t>Medical research, science and technology, social sciences and policy</t>
  </si>
  <si>
    <t>Social Services</t>
  </si>
  <si>
    <t>Family services, services for the elderly, temporary shelters, refugee assistance, income support and maintenance</t>
  </si>
  <si>
    <t>Umbrella bodies</t>
  </si>
  <si>
    <t>National, subsector and local infrastructure bodies (including councils for voluntary services (CVSs)), umbrella bodies</t>
  </si>
  <si>
    <t>We have used the Civil Society Almanac categorisation of voluntary organisations by annual income. In the Almanac, voluntary organisations are divided into six groups based on their income.</t>
  </si>
  <si>
    <t>Types of local government</t>
  </si>
  <si>
    <t>The definitions below are taken from the Local Government Association (LGA).</t>
  </si>
  <si>
    <t>https://www.local.gov.uk/about/what-local-government</t>
  </si>
  <si>
    <t>https://www.local.gov.uk/our-support/councillor-and-officer-development/councillor-hub/introduction-local-government/how</t>
  </si>
  <si>
    <t>Definition</t>
  </si>
  <si>
    <t>District, borough or city councils</t>
  </si>
  <si>
    <t>Term</t>
  </si>
  <si>
    <t>Combined authority</t>
  </si>
  <si>
    <t>Provide services that cover a whole county, such as education, waste disposal and adult social care</t>
  </si>
  <si>
    <t>Smaller than county councils and provide local services such as refuse collection, environmental health, and leisure facilities</t>
  </si>
  <si>
    <t>Set up in 1974, cover large urban areas</t>
  </si>
  <si>
    <t>Unitary councils in London (although the Greater London Authority provides some services, including fire, police, transport, and strategic planning)</t>
  </si>
  <si>
    <t>May cover a whole county, part of a county, or a large town or city</t>
  </si>
  <si>
    <t>Two tier authorities</t>
  </si>
  <si>
    <t>All councils in an area can come together and apply to central government to form a combined authority, with a directly elected mayor, in return for a greater devolution of powers from central government</t>
  </si>
  <si>
    <t>Metropolitan boroughs</t>
  </si>
  <si>
    <t>Unitary councils</t>
  </si>
  <si>
    <t>One (unitary) tier authorities</t>
  </si>
  <si>
    <t>Responsibilities for local services are divided between larger and smaller councils</t>
  </si>
  <si>
    <t>All services are delivered by a single authority</t>
  </si>
  <si>
    <t>List of subsectors (ICNPO categories) and types of organisations included:</t>
  </si>
  <si>
    <t>Maps of local government can be viewed on the Office for National Statistics' Open Geography Portal.</t>
  </si>
  <si>
    <t>https://geoportal.statistics.gov.uk/search?q=MAP_ADM&amp;sort=Date%20Created%7Ccreated%7Cdesc</t>
  </si>
  <si>
    <t>NB: 'Health bodies' refers to NHS England, NHS Wales, integrated care systems/boards, Welsh health boards, and Primary Care Networks.</t>
  </si>
  <si>
    <t xml:space="preserve">Primary Care Networks </t>
  </si>
  <si>
    <t>NB: This data should be interpreted with additional caution due to the small base size of small organisations responding to the survey.</t>
  </si>
  <si>
    <t>NB: Conditional formatting has been added to tables to add visual comparison and help make patterns more apparent. The colours represent a gradient from the largest number in each table (green) to the smallest number in the table (red).</t>
  </si>
  <si>
    <t>This is particularly important with regards to the 'deep dives' (tabs E1 through H1). Most of the differences between 'deep dive' cohorts and overall survey respondents are not statistically significant. These figures should therefore be interpreted cautiously.</t>
  </si>
  <si>
    <r>
      <t xml:space="preserve">For more information about the survey methodology and analysis, please see the appendix of NCVO's report: </t>
    </r>
    <r>
      <rPr>
        <u/>
        <sz val="11"/>
        <color rgb="FF0070C0"/>
        <rFont val="Calibri"/>
        <family val="2"/>
        <scheme val="minor"/>
      </rPr>
      <t>The True Cost of Delivering Public Services</t>
    </r>
    <r>
      <rPr>
        <sz val="11"/>
        <color theme="1"/>
        <rFont val="Calibri"/>
        <family val="2"/>
        <scheme val="minor"/>
      </rPr>
      <t>.</t>
    </r>
  </si>
  <si>
    <r>
      <t xml:space="preserve">All figures for comparisons to the overall voluntary sector are taken from the </t>
    </r>
    <r>
      <rPr>
        <u/>
        <sz val="11"/>
        <color rgb="FF0070C0"/>
        <rFont val="Calibri"/>
        <family val="2"/>
        <scheme val="minor"/>
      </rPr>
      <t>UK Civil Society Almanac 2023</t>
    </r>
    <r>
      <rPr>
        <sz val="11"/>
        <color theme="1"/>
        <rFont val="Calibri"/>
        <family val="2"/>
        <scheme val="minor"/>
      </rPr>
      <t>, unless otherwise stated.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</si>
</sst>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rgb="FF522A6B"/>
      <name val="Calibri"/>
      <family val="2"/>
      <scheme val="minor"/>
    </font>
    <font>
      <i/>
      <sz val="11"/>
      <color theme="1"/>
      <name val="Calibri"/>
      <family val="2"/>
      <scheme val="minor"/>
    </font>
    <font>
      <b/>
      <sz val="11"/>
      <color rgb="FF4F276D"/>
      <name val="Calibri"/>
      <family val="2"/>
      <scheme val="minor"/>
    </font>
    <font>
      <u/>
      <sz val="11"/>
      <color theme="10"/>
      <name val="Calibri"/>
      <family val="2"/>
      <scheme val="minor"/>
    </font>
    <font>
      <sz val="11"/>
      <name val="Calibri"/>
      <family val="2"/>
      <charset val="1"/>
    </font>
    <font>
      <b/>
      <sz val="11"/>
      <name val="Calibri"/>
      <family val="2"/>
      <charset val="1"/>
    </font>
    <font>
      <b/>
      <sz val="12"/>
      <color rgb="FF4F276D"/>
      <name val="Calibri"/>
      <family val="2"/>
      <scheme val="minor"/>
    </font>
    <font>
      <i/>
      <sz val="11"/>
      <name val="Calibri"/>
      <family val="2"/>
      <scheme val="minor"/>
    </font>
    <font>
      <b/>
      <sz val="11"/>
      <color rgb="FFFF0000"/>
      <name val="Calibri"/>
      <family val="2"/>
      <scheme val="minor"/>
    </font>
    <font>
      <b/>
      <sz val="14"/>
      <color rgb="FF522A6B"/>
      <name val="Calibri"/>
      <family val="2"/>
      <scheme val="minor"/>
    </font>
    <font>
      <sz val="11"/>
      <color rgb="FF333333"/>
      <name val="Calibri"/>
      <family val="2"/>
      <scheme val="minor"/>
    </font>
    <font>
      <sz val="11"/>
      <color rgb="FF000000"/>
      <name val="Calibri"/>
      <family val="2"/>
      <scheme val="minor"/>
    </font>
    <font>
      <sz val="11"/>
      <color rgb="FF181818"/>
      <name val="Calibri"/>
      <family val="2"/>
      <scheme val="minor"/>
    </font>
    <font>
      <b/>
      <sz val="11"/>
      <name val="Calibri"/>
      <family val="2"/>
      <scheme val="minor"/>
    </font>
    <font>
      <sz val="11"/>
      <name val="Calibri"/>
      <family val="2"/>
      <scheme val="minor"/>
    </font>
    <font>
      <sz val="11"/>
      <color rgb="FF4F276D"/>
      <name val="Calibri"/>
      <family val="2"/>
      <scheme val="minor"/>
    </font>
    <font>
      <b/>
      <sz val="11"/>
      <color rgb="FF333333"/>
      <name val="Calibri"/>
      <family val="2"/>
      <scheme val="minor"/>
    </font>
    <font>
      <u/>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rgb="FF4F276D"/>
      </bottom>
      <diagonal/>
    </border>
    <border>
      <left/>
      <right/>
      <top style="thick">
        <color rgb="FF4F276D"/>
      </top>
      <bottom/>
      <diagonal/>
    </border>
    <border>
      <left/>
      <right/>
      <top style="thin">
        <color indexed="64"/>
      </top>
      <bottom style="thin">
        <color indexed="64"/>
      </bottom>
      <diagonal/>
    </border>
    <border>
      <left/>
      <right/>
      <top/>
      <bottom style="medium">
        <color indexed="64"/>
      </bottom>
      <diagonal/>
    </border>
    <border>
      <left/>
      <right/>
      <top style="thick">
        <color rgb="FF4F276D"/>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08">
    <xf numFmtId="0" fontId="0" fillId="0" borderId="0" xfId="0"/>
    <xf numFmtId="0" fontId="3" fillId="2" borderId="0" xfId="0" applyFont="1" applyFill="1" applyAlignment="1">
      <alignment vertical="center"/>
    </xf>
    <xf numFmtId="0" fontId="4" fillId="2" borderId="0" xfId="0" applyFont="1" applyFill="1" applyAlignment="1">
      <alignment horizontal="left"/>
    </xf>
    <xf numFmtId="0" fontId="4" fillId="0" borderId="0" xfId="0" applyFont="1"/>
    <xf numFmtId="0" fontId="2" fillId="2" borderId="0" xfId="0" applyFont="1" applyFill="1"/>
    <xf numFmtId="0" fontId="0" fillId="2" borderId="0" xfId="0" applyFill="1" applyAlignment="1">
      <alignment horizontal="left"/>
    </xf>
    <xf numFmtId="0" fontId="5" fillId="2" borderId="0" xfId="0" applyFont="1" applyFill="1" applyAlignment="1">
      <alignment horizontal="left"/>
    </xf>
    <xf numFmtId="0" fontId="6" fillId="0" borderId="0" xfId="2"/>
    <xf numFmtId="0" fontId="2" fillId="0" borderId="0" xfId="0" applyFont="1"/>
    <xf numFmtId="164" fontId="0" fillId="0" borderId="0" xfId="1" applyNumberFormat="1" applyFont="1"/>
    <xf numFmtId="164" fontId="2" fillId="0" borderId="0" xfId="0" applyNumberFormat="1" applyFont="1"/>
    <xf numFmtId="10" fontId="0" fillId="0" borderId="0" xfId="0" applyNumberFormat="1"/>
    <xf numFmtId="3" fontId="0" fillId="0" borderId="0" xfId="0" applyNumberFormat="1" applyAlignment="1">
      <alignment vertical="center"/>
    </xf>
    <xf numFmtId="3" fontId="7" fillId="0" borderId="0" xfId="0" applyNumberFormat="1" applyFont="1" applyAlignment="1">
      <alignment vertical="center"/>
    </xf>
    <xf numFmtId="165" fontId="8" fillId="0" borderId="0" xfId="0" applyNumberFormat="1" applyFont="1" applyAlignment="1">
      <alignment vertical="center"/>
    </xf>
    <xf numFmtId="3" fontId="8" fillId="0" borderId="0" xfId="0" applyNumberFormat="1" applyFont="1" applyAlignment="1">
      <alignment vertical="center"/>
    </xf>
    <xf numFmtId="0" fontId="5" fillId="0" borderId="0" xfId="0" applyFont="1"/>
    <xf numFmtId="9" fontId="0" fillId="0" borderId="0" xfId="1" applyFont="1"/>
    <xf numFmtId="0" fontId="5" fillId="2" borderId="0" xfId="0" applyFont="1" applyFill="1" applyAlignment="1">
      <alignment wrapText="1"/>
    </xf>
    <xf numFmtId="0" fontId="2" fillId="0" borderId="0" xfId="0" applyFont="1" applyAlignment="1">
      <alignment wrapText="1"/>
    </xf>
    <xf numFmtId="164" fontId="0" fillId="0" borderId="0" xfId="1" applyNumberFormat="1" applyFont="1" applyFill="1"/>
    <xf numFmtId="10" fontId="0" fillId="0" borderId="0" xfId="1" applyNumberFormat="1" applyFont="1"/>
    <xf numFmtId="0" fontId="2" fillId="0" borderId="1" xfId="0" applyFont="1" applyBorder="1"/>
    <xf numFmtId="0" fontId="2" fillId="0" borderId="2" xfId="0" applyFont="1" applyBorder="1" applyAlignment="1">
      <alignment wrapText="1"/>
    </xf>
    <xf numFmtId="0" fontId="2" fillId="0" borderId="3" xfId="0" applyFont="1" applyBorder="1" applyAlignment="1">
      <alignment wrapText="1"/>
    </xf>
    <xf numFmtId="0" fontId="0" fillId="0" borderId="4" xfId="0" applyBorder="1"/>
    <xf numFmtId="164" fontId="0" fillId="0" borderId="0" xfId="1" applyNumberFormat="1" applyFont="1" applyFill="1" applyBorder="1"/>
    <xf numFmtId="164" fontId="0" fillId="0" borderId="5" xfId="1" applyNumberFormat="1" applyFont="1" applyBorder="1"/>
    <xf numFmtId="0" fontId="0" fillId="0" borderId="6" xfId="0" applyBorder="1"/>
    <xf numFmtId="0" fontId="0" fillId="0" borderId="7" xfId="0" applyBorder="1"/>
    <xf numFmtId="164" fontId="0" fillId="0" borderId="7" xfId="1" applyNumberFormat="1" applyFont="1" applyFill="1" applyBorder="1"/>
    <xf numFmtId="164" fontId="0" fillId="0" borderId="0" xfId="1" applyNumberFormat="1" applyFont="1" applyBorder="1"/>
    <xf numFmtId="164" fontId="0" fillId="0" borderId="7" xfId="1" applyNumberFormat="1" applyFont="1" applyBorder="1"/>
    <xf numFmtId="164" fontId="0" fillId="0" borderId="8" xfId="1" applyNumberFormat="1" applyFont="1" applyBorder="1"/>
    <xf numFmtId="0" fontId="2" fillId="0" borderId="1" xfId="0" applyFont="1" applyBorder="1" applyAlignment="1">
      <alignment wrapText="1"/>
    </xf>
    <xf numFmtId="9" fontId="0" fillId="0" borderId="0" xfId="1" applyFont="1" applyBorder="1"/>
    <xf numFmtId="0" fontId="6" fillId="0" borderId="0" xfId="2" applyAlignment="1"/>
    <xf numFmtId="0" fontId="2" fillId="0" borderId="2" xfId="0" applyFont="1" applyBorder="1"/>
    <xf numFmtId="0" fontId="2" fillId="0" borderId="3" xfId="0" applyFont="1" applyBorder="1"/>
    <xf numFmtId="164" fontId="0" fillId="0" borderId="0" xfId="1" applyNumberFormat="1" applyFont="1" applyBorder="1" applyAlignment="1"/>
    <xf numFmtId="164" fontId="0" fillId="0" borderId="5" xfId="1" applyNumberFormat="1" applyFont="1" applyBorder="1" applyAlignment="1"/>
    <xf numFmtId="164" fontId="0" fillId="0" borderId="8" xfId="1" applyNumberFormat="1" applyFont="1" applyBorder="1" applyAlignment="1"/>
    <xf numFmtId="164" fontId="0" fillId="0" borderId="7" xfId="1" applyNumberFormat="1" applyFont="1" applyBorder="1" applyAlignment="1"/>
    <xf numFmtId="164" fontId="0" fillId="0" borderId="5" xfId="1" applyNumberFormat="1" applyFont="1" applyFill="1" applyBorder="1"/>
    <xf numFmtId="164" fontId="0" fillId="0" borderId="8" xfId="1" applyNumberFormat="1" applyFont="1" applyFill="1" applyBorder="1"/>
    <xf numFmtId="0" fontId="0" fillId="3" borderId="4" xfId="0" applyFill="1" applyBorder="1"/>
    <xf numFmtId="0" fontId="0" fillId="3" borderId="0" xfId="0" applyFill="1"/>
    <xf numFmtId="164" fontId="0" fillId="3" borderId="5" xfId="1" applyNumberFormat="1" applyFont="1" applyFill="1" applyBorder="1"/>
    <xf numFmtId="0" fontId="6" fillId="0" borderId="0" xfId="2" applyAlignment="1">
      <alignment wrapText="1"/>
    </xf>
    <xf numFmtId="0" fontId="0" fillId="0" borderId="0" xfId="0" applyAlignment="1">
      <alignment wrapText="1"/>
    </xf>
    <xf numFmtId="0" fontId="9" fillId="0" borderId="0" xfId="0" applyFont="1"/>
    <xf numFmtId="0" fontId="9" fillId="0" borderId="0" xfId="0" applyFont="1" applyAlignment="1">
      <alignment wrapText="1"/>
    </xf>
    <xf numFmtId="164" fontId="2" fillId="0" borderId="0" xfId="1" applyNumberFormat="1" applyFont="1"/>
    <xf numFmtId="0" fontId="10" fillId="0" borderId="0" xfId="0" applyFont="1"/>
    <xf numFmtId="9" fontId="0" fillId="0" borderId="0" xfId="1" applyFont="1" applyBorder="1" applyAlignment="1"/>
    <xf numFmtId="0" fontId="0" fillId="3" borderId="6" xfId="0" applyFill="1" applyBorder="1"/>
    <xf numFmtId="0" fontId="0" fillId="3" borderId="7" xfId="0" applyFill="1" applyBorder="1"/>
    <xf numFmtId="164" fontId="0" fillId="3" borderId="8" xfId="1" applyNumberFormat="1" applyFont="1" applyFill="1" applyBorder="1"/>
    <xf numFmtId="164" fontId="0" fillId="0" borderId="5" xfId="0" applyNumberFormat="1" applyBorder="1"/>
    <xf numFmtId="164" fontId="0" fillId="0" borderId="5" xfId="1" applyNumberFormat="1" applyFont="1" applyFill="1" applyBorder="1" applyAlignment="1"/>
    <xf numFmtId="164" fontId="0" fillId="0" borderId="8" xfId="1" applyNumberFormat="1" applyFont="1" applyFill="1" applyBorder="1" applyAlignment="1"/>
    <xf numFmtId="164" fontId="0" fillId="3" borderId="5" xfId="0" applyNumberFormat="1" applyFill="1" applyBorder="1"/>
    <xf numFmtId="164" fontId="0" fillId="3" borderId="5" xfId="1" applyNumberFormat="1" applyFont="1" applyFill="1" applyBorder="1" applyAlignment="1"/>
    <xf numFmtId="164" fontId="0" fillId="3" borderId="8" xfId="1" applyNumberFormat="1" applyFont="1" applyFill="1" applyBorder="1" applyAlignment="1"/>
    <xf numFmtId="0" fontId="0" fillId="3" borderId="4" xfId="0" applyFill="1" applyBorder="1" applyAlignment="1">
      <alignment wrapText="1"/>
    </xf>
    <xf numFmtId="0" fontId="11" fillId="0" borderId="0" xfId="0" applyFont="1"/>
    <xf numFmtId="0" fontId="12" fillId="2" borderId="0" xfId="0" applyFont="1" applyFill="1" applyAlignment="1">
      <alignment vertical="center" wrapText="1"/>
    </xf>
    <xf numFmtId="0" fontId="0" fillId="2" borderId="0" xfId="0" applyFill="1" applyAlignment="1">
      <alignment wrapText="1"/>
    </xf>
    <xf numFmtId="0" fontId="0" fillId="2" borderId="0" xfId="0" applyFill="1"/>
    <xf numFmtId="0" fontId="5" fillId="2" borderId="9" xfId="0" applyFont="1" applyFill="1" applyBorder="1" applyAlignment="1">
      <alignment horizontal="left" wrapText="1"/>
    </xf>
    <xf numFmtId="0" fontId="13" fillId="2" borderId="0" xfId="0" applyFont="1" applyFill="1" applyAlignment="1">
      <alignment vertical="top" wrapText="1"/>
    </xf>
    <xf numFmtId="0" fontId="16" fillId="2" borderId="11" xfId="0" applyFont="1" applyFill="1" applyBorder="1" applyAlignment="1">
      <alignment horizontal="left" vertical="center" wrapText="1"/>
    </xf>
    <xf numFmtId="0" fontId="13" fillId="2" borderId="0" xfId="0" applyFont="1" applyFill="1"/>
    <xf numFmtId="0" fontId="13" fillId="2" borderId="10" xfId="0" applyFont="1" applyFill="1" applyBorder="1" applyAlignment="1">
      <alignment vertical="top" wrapText="1"/>
    </xf>
    <xf numFmtId="0" fontId="14" fillId="2" borderId="0" xfId="0" applyFont="1" applyFill="1" applyAlignment="1">
      <alignment vertical="center"/>
    </xf>
    <xf numFmtId="0" fontId="15" fillId="2" borderId="0" xfId="0" applyFont="1" applyFill="1" applyAlignment="1">
      <alignment horizontal="left"/>
    </xf>
    <xf numFmtId="0" fontId="12" fillId="2" borderId="0" xfId="0" applyFont="1" applyFill="1" applyAlignment="1">
      <alignment vertical="center"/>
    </xf>
    <xf numFmtId="0" fontId="16" fillId="2" borderId="0" xfId="0" applyFont="1" applyFill="1" applyAlignment="1">
      <alignment horizontal="left" vertical="center" wrapText="1"/>
    </xf>
    <xf numFmtId="0" fontId="17" fillId="2" borderId="0" xfId="0" applyFont="1" applyFill="1"/>
    <xf numFmtId="0" fontId="17" fillId="2" borderId="0" xfId="0" applyFont="1" applyFill="1" applyAlignment="1">
      <alignment horizontal="left" vertical="center"/>
    </xf>
    <xf numFmtId="0" fontId="5" fillId="2" borderId="9" xfId="0" applyFont="1" applyFill="1" applyBorder="1" applyAlignment="1">
      <alignment horizontal="left"/>
    </xf>
    <xf numFmtId="0" fontId="13" fillId="2" borderId="10" xfId="0" applyFont="1" applyFill="1" applyBorder="1" applyAlignment="1">
      <alignment vertical="top"/>
    </xf>
    <xf numFmtId="0" fontId="13" fillId="2" borderId="0" xfId="0" applyFont="1" applyFill="1" applyAlignment="1">
      <alignment vertical="top"/>
    </xf>
    <xf numFmtId="0" fontId="18" fillId="2" borderId="0" xfId="0" applyFont="1" applyFill="1" applyAlignment="1">
      <alignment horizontal="left"/>
    </xf>
    <xf numFmtId="0" fontId="13" fillId="2" borderId="7" xfId="0" applyFont="1" applyFill="1" applyBorder="1" applyAlignment="1">
      <alignment vertical="top" wrapText="1"/>
    </xf>
    <xf numFmtId="0" fontId="0" fillId="0" borderId="12" xfId="0" applyBorder="1"/>
    <xf numFmtId="0" fontId="13" fillId="2" borderId="13" xfId="0" applyFont="1" applyFill="1" applyBorder="1" applyAlignment="1">
      <alignment vertical="top" wrapText="1"/>
    </xf>
    <xf numFmtId="0" fontId="0" fillId="0" borderId="13" xfId="0" applyBorder="1"/>
    <xf numFmtId="0" fontId="13" fillId="2" borderId="11" xfId="0" applyFont="1" applyFill="1" applyBorder="1" applyAlignment="1">
      <alignment vertical="top" wrapText="1"/>
    </xf>
    <xf numFmtId="0" fontId="0" fillId="0" borderId="11" xfId="0" applyBorder="1"/>
    <xf numFmtId="0" fontId="0" fillId="0" borderId="11" xfId="0" applyBorder="1" applyAlignment="1">
      <alignment wrapText="1"/>
    </xf>
    <xf numFmtId="0" fontId="17" fillId="2" borderId="11" xfId="0" applyFont="1" applyFill="1" applyBorder="1" applyAlignment="1">
      <alignment vertical="center"/>
    </xf>
    <xf numFmtId="0" fontId="16" fillId="2" borderId="7" xfId="0" applyFont="1" applyFill="1" applyBorder="1" applyAlignment="1">
      <alignment horizontal="left" vertical="center" wrapText="1"/>
    </xf>
    <xf numFmtId="0" fontId="17" fillId="2" borderId="7" xfId="0" applyFont="1" applyFill="1" applyBorder="1" applyAlignment="1">
      <alignment vertical="center"/>
    </xf>
    <xf numFmtId="0" fontId="17" fillId="2" borderId="7" xfId="0" applyFont="1" applyFill="1" applyBorder="1"/>
    <xf numFmtId="0" fontId="5" fillId="2" borderId="12" xfId="0" applyFont="1" applyFill="1" applyBorder="1" applyAlignment="1">
      <alignment horizontal="left" wrapText="1"/>
    </xf>
    <xf numFmtId="0" fontId="19" fillId="2" borderId="13" xfId="0" applyFont="1" applyFill="1" applyBorder="1" applyAlignment="1">
      <alignment vertical="top" wrapText="1"/>
    </xf>
    <xf numFmtId="0" fontId="19" fillId="2" borderId="11" xfId="0" applyFont="1" applyFill="1" applyBorder="1" applyAlignment="1">
      <alignment vertical="top" wrapText="1"/>
    </xf>
    <xf numFmtId="0" fontId="19" fillId="2" borderId="7" xfId="0" applyFont="1" applyFill="1" applyBorder="1" applyAlignment="1">
      <alignment vertical="top" wrapText="1"/>
    </xf>
    <xf numFmtId="164" fontId="0" fillId="0" borderId="0" xfId="1" applyNumberFormat="1" applyFont="1" applyBorder="1" applyAlignment="1">
      <alignment wrapText="1"/>
    </xf>
    <xf numFmtId="164" fontId="0" fillId="0" borderId="5" xfId="1" applyNumberFormat="1" applyFont="1" applyBorder="1" applyAlignment="1">
      <alignment wrapText="1"/>
    </xf>
    <xf numFmtId="0" fontId="0" fillId="0" borderId="7" xfId="0" applyBorder="1" applyAlignment="1">
      <alignment wrapText="1"/>
    </xf>
    <xf numFmtId="164" fontId="0" fillId="0" borderId="7" xfId="1" applyNumberFormat="1" applyFont="1" applyBorder="1" applyAlignment="1">
      <alignment wrapText="1"/>
    </xf>
    <xf numFmtId="164" fontId="0" fillId="0" borderId="8" xfId="1" applyNumberFormat="1" applyFont="1" applyBorder="1" applyAlignment="1">
      <alignment wrapText="1"/>
    </xf>
    <xf numFmtId="164" fontId="0" fillId="0" borderId="0" xfId="1" applyNumberFormat="1" applyFont="1" applyFill="1" applyBorder="1" applyAlignment="1">
      <alignment wrapText="1"/>
    </xf>
    <xf numFmtId="164" fontId="0" fillId="0" borderId="5" xfId="0" applyNumberFormat="1" applyBorder="1" applyAlignment="1">
      <alignment wrapText="1"/>
    </xf>
    <xf numFmtId="164" fontId="0" fillId="0" borderId="7" xfId="1" applyNumberFormat="1" applyFont="1" applyFill="1" applyBorder="1" applyAlignment="1">
      <alignment wrapText="1"/>
    </xf>
    <xf numFmtId="0" fontId="5" fillId="2" borderId="12" xfId="0" applyFont="1" applyFill="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4F2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vo.org.uk/news-and-insights/news-index/uk-civil-society-almanac-2023/executive-summary/#/" TargetMode="External"/><Relationship Id="rId1" Type="http://schemas.openxmlformats.org/officeDocument/2006/relationships/hyperlink" Target="https://www.ncvo.org.uk/news-and-insights/news-index/the-true-cost-of-delivering-public-services" TargetMode="External"/></Relationships>
</file>

<file path=xl/drawings/drawing1.xml><?xml version="1.0" encoding="utf-8"?>
<xdr:wsDr xmlns:xdr="http://schemas.openxmlformats.org/drawingml/2006/spreadsheetDrawing" xmlns:a="http://schemas.openxmlformats.org/drawingml/2006/main">
  <xdr:twoCellAnchor>
    <xdr:from>
      <xdr:col>10</xdr:col>
      <xdr:colOff>234950</xdr:colOff>
      <xdr:row>1</xdr:row>
      <xdr:rowOff>171450</xdr:rowOff>
    </xdr:from>
    <xdr:to>
      <xdr:col>14</xdr:col>
      <xdr:colOff>330200</xdr:colOff>
      <xdr:row>3</xdr:row>
      <xdr:rowOff>12700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4513797-229E-187D-337C-809DCCFF7001}"/>
            </a:ext>
          </a:extLst>
        </xdr:cNvPr>
        <xdr:cNvSpPr/>
      </xdr:nvSpPr>
      <xdr:spPr>
        <a:xfrm>
          <a:off x="6330950" y="355600"/>
          <a:ext cx="2533650" cy="2095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209550</xdr:colOff>
      <xdr:row>3</xdr:row>
      <xdr:rowOff>171450</xdr:rowOff>
    </xdr:from>
    <xdr:to>
      <xdr:col>10</xdr:col>
      <xdr:colOff>146050</xdr:colOff>
      <xdr:row>5</xdr:row>
      <xdr:rowOff>25400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B54FB9B-E5C1-6F51-4341-1F07C2103CA7}"/>
            </a:ext>
          </a:extLst>
        </xdr:cNvPr>
        <xdr:cNvSpPr/>
      </xdr:nvSpPr>
      <xdr:spPr>
        <a:xfrm>
          <a:off x="4476750" y="723900"/>
          <a:ext cx="1765300" cy="2222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hyperlink" Target="https://geoportal.statistics.gov.uk/search?q=MAP_ADM&amp;sort=Date%20Created%7Ccreated%7Cdesc" TargetMode="External"/><Relationship Id="rId1" Type="http://schemas.openxmlformats.org/officeDocument/2006/relationships/hyperlink" Target="https://www.local.gov.uk/our-support/councillor-and-officer-development/councillor-hub/introduction-local-government/how"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9B93-3C13-4AA9-B048-DDB5ED385868}">
  <dimension ref="A1:B53"/>
  <sheetViews>
    <sheetView showGridLines="0" tabSelected="1" workbookViewId="0">
      <selection activeCell="G8" sqref="G8"/>
    </sheetView>
  </sheetViews>
  <sheetFormatPr defaultRowHeight="14.5" x14ac:dyDescent="0.35"/>
  <cols>
    <col min="1" max="1" width="17" customWidth="1"/>
    <col min="2" max="2" width="17.54296875" customWidth="1"/>
  </cols>
  <sheetData>
    <row r="1" spans="1:2" ht="21" x14ac:dyDescent="0.35">
      <c r="A1" s="1" t="s">
        <v>0</v>
      </c>
    </row>
    <row r="2" spans="1:2" x14ac:dyDescent="0.35">
      <c r="A2" s="2" t="s">
        <v>1</v>
      </c>
    </row>
    <row r="3" spans="1:2" x14ac:dyDescent="0.35">
      <c r="A3" s="3" t="s">
        <v>2</v>
      </c>
    </row>
    <row r="5" spans="1:2" x14ac:dyDescent="0.35">
      <c r="A5" s="18" t="s">
        <v>3</v>
      </c>
      <c r="B5" s="6" t="s">
        <v>4</v>
      </c>
    </row>
    <row r="6" spans="1:2" x14ac:dyDescent="0.35">
      <c r="A6" s="4"/>
      <c r="B6" s="5" t="s">
        <v>5</v>
      </c>
    </row>
    <row r="7" spans="1:2" x14ac:dyDescent="0.35">
      <c r="A7" s="4"/>
      <c r="B7" s="5" t="s">
        <v>6</v>
      </c>
    </row>
    <row r="9" spans="1:2" x14ac:dyDescent="0.35">
      <c r="B9" s="6" t="s">
        <v>178</v>
      </c>
    </row>
    <row r="10" spans="1:2" x14ac:dyDescent="0.35">
      <c r="A10" s="7" t="s">
        <v>7</v>
      </c>
      <c r="B10" t="s">
        <v>8</v>
      </c>
    </row>
    <row r="11" spans="1:2" x14ac:dyDescent="0.35">
      <c r="A11" s="7" t="s">
        <v>9</v>
      </c>
      <c r="B11" t="s">
        <v>10</v>
      </c>
    </row>
    <row r="12" spans="1:2" x14ac:dyDescent="0.35">
      <c r="A12" s="7" t="s">
        <v>11</v>
      </c>
      <c r="B12" t="s">
        <v>12</v>
      </c>
    </row>
    <row r="13" spans="1:2" x14ac:dyDescent="0.35">
      <c r="A13" s="7" t="s">
        <v>13</v>
      </c>
      <c r="B13" t="s">
        <v>14</v>
      </c>
    </row>
    <row r="15" spans="1:2" x14ac:dyDescent="0.35">
      <c r="B15" s="6" t="s">
        <v>15</v>
      </c>
    </row>
    <row r="16" spans="1:2" x14ac:dyDescent="0.35">
      <c r="A16" s="7" t="s">
        <v>16</v>
      </c>
      <c r="B16" t="s">
        <v>17</v>
      </c>
    </row>
    <row r="17" spans="1:2" x14ac:dyDescent="0.35">
      <c r="A17" s="7" t="s">
        <v>93</v>
      </c>
      <c r="B17" t="s">
        <v>91</v>
      </c>
    </row>
    <row r="18" spans="1:2" x14ac:dyDescent="0.35">
      <c r="A18" s="7" t="s">
        <v>271</v>
      </c>
      <c r="B18" t="s">
        <v>272</v>
      </c>
    </row>
    <row r="20" spans="1:2" x14ac:dyDescent="0.35">
      <c r="B20" s="16" t="s">
        <v>99</v>
      </c>
    </row>
    <row r="21" spans="1:2" x14ac:dyDescent="0.35">
      <c r="A21" s="7" t="s">
        <v>100</v>
      </c>
      <c r="B21" t="s">
        <v>101</v>
      </c>
    </row>
    <row r="22" spans="1:2" x14ac:dyDescent="0.35">
      <c r="A22" s="7" t="s">
        <v>102</v>
      </c>
      <c r="B22" t="s">
        <v>103</v>
      </c>
    </row>
    <row r="23" spans="1:2" x14ac:dyDescent="0.35">
      <c r="A23" s="7" t="s">
        <v>104</v>
      </c>
      <c r="B23" t="s">
        <v>120</v>
      </c>
    </row>
    <row r="24" spans="1:2" x14ac:dyDescent="0.35">
      <c r="A24" s="7" t="s">
        <v>133</v>
      </c>
      <c r="B24" t="s">
        <v>132</v>
      </c>
    </row>
    <row r="26" spans="1:2" x14ac:dyDescent="0.35">
      <c r="B26" s="16" t="s">
        <v>130</v>
      </c>
    </row>
    <row r="27" spans="1:2" x14ac:dyDescent="0.35">
      <c r="A27" s="7" t="s">
        <v>137</v>
      </c>
      <c r="B27" t="s">
        <v>131</v>
      </c>
    </row>
    <row r="28" spans="1:2" x14ac:dyDescent="0.35">
      <c r="A28" s="7" t="s">
        <v>138</v>
      </c>
      <c r="B28" t="s">
        <v>134</v>
      </c>
    </row>
    <row r="29" spans="1:2" x14ac:dyDescent="0.35">
      <c r="A29" s="7" t="s">
        <v>139</v>
      </c>
      <c r="B29" t="s">
        <v>135</v>
      </c>
    </row>
    <row r="30" spans="1:2" x14ac:dyDescent="0.35">
      <c r="A30" s="7" t="s">
        <v>140</v>
      </c>
      <c r="B30" t="s">
        <v>136</v>
      </c>
    </row>
    <row r="31" spans="1:2" x14ac:dyDescent="0.35">
      <c r="A31" s="7" t="s">
        <v>141</v>
      </c>
      <c r="B31" t="s">
        <v>287</v>
      </c>
    </row>
    <row r="33" spans="1:2" x14ac:dyDescent="0.35">
      <c r="B33" s="16" t="s">
        <v>208</v>
      </c>
    </row>
    <row r="34" spans="1:2" x14ac:dyDescent="0.35">
      <c r="A34" s="7" t="s">
        <v>205</v>
      </c>
      <c r="B34" t="s">
        <v>211</v>
      </c>
    </row>
    <row r="35" spans="1:2" x14ac:dyDescent="0.35">
      <c r="A35" s="7" t="s">
        <v>206</v>
      </c>
      <c r="B35" t="s">
        <v>216</v>
      </c>
    </row>
    <row r="36" spans="1:2" x14ac:dyDescent="0.35">
      <c r="A36" s="7" t="s">
        <v>207</v>
      </c>
      <c r="B36" t="s">
        <v>219</v>
      </c>
    </row>
    <row r="38" spans="1:2" x14ac:dyDescent="0.35">
      <c r="B38" s="16" t="s">
        <v>209</v>
      </c>
    </row>
    <row r="39" spans="1:2" x14ac:dyDescent="0.35">
      <c r="A39" s="7" t="s">
        <v>254</v>
      </c>
      <c r="B39" t="s">
        <v>34</v>
      </c>
    </row>
    <row r="40" spans="1:2" x14ac:dyDescent="0.35">
      <c r="A40" s="7" t="s">
        <v>255</v>
      </c>
      <c r="B40" t="s">
        <v>35</v>
      </c>
    </row>
    <row r="41" spans="1:2" x14ac:dyDescent="0.35">
      <c r="A41" s="7" t="s">
        <v>256</v>
      </c>
      <c r="B41" t="s">
        <v>227</v>
      </c>
    </row>
    <row r="42" spans="1:2" x14ac:dyDescent="0.35">
      <c r="A42" s="7" t="s">
        <v>257</v>
      </c>
      <c r="B42" t="s">
        <v>37</v>
      </c>
    </row>
    <row r="43" spans="1:2" x14ac:dyDescent="0.35">
      <c r="A43" s="7" t="s">
        <v>258</v>
      </c>
      <c r="B43" t="s">
        <v>38</v>
      </c>
    </row>
    <row r="45" spans="1:2" x14ac:dyDescent="0.35">
      <c r="B45" s="16" t="s">
        <v>210</v>
      </c>
    </row>
    <row r="46" spans="1:2" x14ac:dyDescent="0.35">
      <c r="A46" s="7" t="s">
        <v>259</v>
      </c>
      <c r="B46" t="s">
        <v>237</v>
      </c>
    </row>
    <row r="47" spans="1:2" x14ac:dyDescent="0.35">
      <c r="A47" s="7" t="s">
        <v>260</v>
      </c>
      <c r="B47" t="s">
        <v>247</v>
      </c>
    </row>
    <row r="48" spans="1:2" x14ac:dyDescent="0.35">
      <c r="A48" s="7" t="s">
        <v>261</v>
      </c>
      <c r="B48" t="s">
        <v>246</v>
      </c>
    </row>
    <row r="49" spans="1:2" x14ac:dyDescent="0.35">
      <c r="A49" s="7" t="s">
        <v>262</v>
      </c>
      <c r="B49" t="s">
        <v>293</v>
      </c>
    </row>
    <row r="50" spans="1:2" x14ac:dyDescent="0.35">
      <c r="A50" s="7" t="s">
        <v>263</v>
      </c>
      <c r="B50" t="s">
        <v>86</v>
      </c>
    </row>
    <row r="52" spans="1:2" x14ac:dyDescent="0.35">
      <c r="B52" s="16" t="s">
        <v>253</v>
      </c>
    </row>
    <row r="53" spans="1:2" x14ac:dyDescent="0.35">
      <c r="A53" s="7" t="s">
        <v>264</v>
      </c>
      <c r="B53" t="s">
        <v>55</v>
      </c>
    </row>
  </sheetData>
  <sheetProtection algorithmName="SHA-512" hashValue="qT8SLZGAuks96UEFFe9mnikjhdR0xykViENeobjpw5I97KfBi4lfQWSZw+PkNgTwLUHNbdc+YZHkL5HIEOcBvw==" saltValue="tujOrbo5SkgxK4R1xzoWJg==" spinCount="100000" sheet="1" objects="1" scenarios="1"/>
  <hyperlinks>
    <hyperlink ref="A10" location="'A1'!A1" display="A1" xr:uid="{616D11EE-0179-48ED-8FC1-434DCEECEF26}"/>
    <hyperlink ref="A11" location="'A2'!A1" display="A2" xr:uid="{DF27BA98-EE33-49DD-B2D6-891695CA2F78}"/>
    <hyperlink ref="A12" location="'A3'!A1" display="A3" xr:uid="{98667751-A83B-4CFF-A84A-4021EF5E6E4B}"/>
    <hyperlink ref="A13" location="'A4'!A1" display="A4" xr:uid="{C04500FB-081E-4B35-8584-A1666BEA10F3}"/>
    <hyperlink ref="A16" location="'B1'!A1" display="B1" xr:uid="{D9AC013E-C290-4E1F-AD23-DB98E5DB1AA9}"/>
    <hyperlink ref="A17" location="'B2'!A1" display="B2" xr:uid="{103F5A39-ABE1-436F-BDCB-0786670E9E22}"/>
    <hyperlink ref="A21" location="'C1'!A1" display="C1" xr:uid="{ABC46A82-7626-4F2D-A8DD-51494BFA33E7}"/>
    <hyperlink ref="A22" location="'C2'!A1" display="C2" xr:uid="{6610466C-120A-4859-863A-083AADB8FADC}"/>
    <hyperlink ref="A23" location="'C3'!A1" display="C3" xr:uid="{AF9AF1FA-2618-4D88-BBE6-FB394D0679E7}"/>
    <hyperlink ref="A24" location="'C4'!A1" display="C4" xr:uid="{E8292CCB-BD0C-4C6C-8741-5FF32FCEAA5F}"/>
    <hyperlink ref="A27" location="'D1'!A1" display="D1" xr:uid="{1175E1DD-3A1D-4F91-BD02-9456EF7921BA}"/>
    <hyperlink ref="A28" location="'D2'!A1" display="D2" xr:uid="{DA2C0729-A3D2-4268-96FD-36653C8EA21E}"/>
    <hyperlink ref="A29" location="'D3'!A1" display="D3" xr:uid="{FA1037DC-9B19-415E-9405-449C6072C849}"/>
    <hyperlink ref="A30" location="'D4'!A1" display="D4" xr:uid="{E6FE07EE-5BF1-4E55-9108-51060B02F29C}"/>
    <hyperlink ref="A31" location="'D5'!A1" display="D5" xr:uid="{65437A2F-9401-461A-8ED5-BD283849D72A}"/>
    <hyperlink ref="A34" location="'E1'!A1" display="E1" xr:uid="{58F54EB0-367B-480F-BD29-AB545395BC52}"/>
    <hyperlink ref="A35" location="'E2'!A1" display="E2" xr:uid="{49AD831A-12F8-4477-AD51-242B8B46AD0F}"/>
    <hyperlink ref="A36" location="'E3'!A1" display="E3" xr:uid="{080697B1-16F6-473D-AC53-199CE6DCE5E3}"/>
    <hyperlink ref="A39" location="'F1'!A1" display="F1" xr:uid="{6E071D64-0E03-4417-9B5E-04B534937A00}"/>
    <hyperlink ref="A40" location="'F2'!A1" display="F2" xr:uid="{B924A181-C528-45BE-A5A8-9B59CF666024}"/>
    <hyperlink ref="A41" location="'F3'!A1" display="F3" xr:uid="{162CE817-A19F-4AA4-A393-30B5A492D676}"/>
    <hyperlink ref="A42" location="'F4'!A1" display="F4" xr:uid="{B9CAE16C-49D3-48F5-93D8-57286B41FC7D}"/>
    <hyperlink ref="A43" location="'F5'!A1" display="F5" xr:uid="{63511A27-096A-4834-B32E-1418D85550FE}"/>
    <hyperlink ref="A46" location="'G1'!A1" display="G1" xr:uid="{B26A26F0-4E16-4F4B-AF6A-B77DC5C7CFCD}"/>
    <hyperlink ref="A47" location="'G2'!A1" display="G2" xr:uid="{269B05E4-9BB8-4B7A-9273-967DEF2FE170}"/>
    <hyperlink ref="A48" location="'G3'!A1" display="G3" xr:uid="{6F2576DE-C101-4412-B1E6-05D7104B5B6E}"/>
    <hyperlink ref="A49" location="'G4'!A1" display="G4" xr:uid="{2DEA19F7-CDDE-4F4C-ACEA-8732A97EF454}"/>
    <hyperlink ref="A50" location="'G5'!A1" display="G5" xr:uid="{5C21554D-D809-4015-8B81-4B190E07C433}"/>
    <hyperlink ref="A53" location="'H1'!A1" display="H1" xr:uid="{2E48595B-75A9-466F-8943-3E7C395F08EF}"/>
    <hyperlink ref="A18" location="'B3'!A1" display="B3" xr:uid="{193D5CFB-AC13-4A52-87A5-93619193303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2FDA-B599-4F1C-BE6A-07760FC029CA}">
  <dimension ref="A1:C10"/>
  <sheetViews>
    <sheetView workbookViewId="0"/>
  </sheetViews>
  <sheetFormatPr defaultRowHeight="14.5" x14ac:dyDescent="0.35"/>
  <cols>
    <col min="1" max="1" width="56.81640625" style="49" bestFit="1" customWidth="1"/>
    <col min="2" max="2" width="21.1796875" bestFit="1" customWidth="1"/>
    <col min="3" max="3" width="15.54296875" bestFit="1" customWidth="1"/>
  </cols>
  <sheetData>
    <row r="1" spans="1:3" x14ac:dyDescent="0.35">
      <c r="A1" s="48" t="s">
        <v>18</v>
      </c>
    </row>
    <row r="2" spans="1:3" ht="15.5" x14ac:dyDescent="0.35">
      <c r="A2" s="51" t="s">
        <v>272</v>
      </c>
    </row>
    <row r="3" spans="1:3" x14ac:dyDescent="0.35">
      <c r="A3" s="3" t="s">
        <v>279</v>
      </c>
    </row>
    <row r="5" spans="1:3" s="8" customFormat="1" ht="29" x14ac:dyDescent="0.35">
      <c r="A5" s="19" t="s">
        <v>273</v>
      </c>
      <c r="B5" s="8" t="s">
        <v>20</v>
      </c>
      <c r="C5" s="8" t="s">
        <v>21</v>
      </c>
    </row>
    <row r="6" spans="1:3" ht="43.5" x14ac:dyDescent="0.35">
      <c r="A6" s="49" t="s">
        <v>274</v>
      </c>
      <c r="B6">
        <v>65</v>
      </c>
      <c r="C6" s="9">
        <f>B6/331</f>
        <v>0.19637462235649547</v>
      </c>
    </row>
    <row r="7" spans="1:3" ht="29" x14ac:dyDescent="0.35">
      <c r="A7" s="49" t="s">
        <v>275</v>
      </c>
      <c r="B7">
        <v>164</v>
      </c>
      <c r="C7" s="9">
        <f t="shared" ref="C7:C10" si="0">B7/331</f>
        <v>0.49546827794561932</v>
      </c>
    </row>
    <row r="8" spans="1:3" ht="29" x14ac:dyDescent="0.35">
      <c r="A8" s="49" t="s">
        <v>276</v>
      </c>
      <c r="B8">
        <v>91</v>
      </c>
      <c r="C8" s="9">
        <f t="shared" si="0"/>
        <v>0.27492447129909364</v>
      </c>
    </row>
    <row r="9" spans="1:3" ht="43.5" x14ac:dyDescent="0.35">
      <c r="A9" s="49" t="s">
        <v>277</v>
      </c>
      <c r="B9">
        <v>69</v>
      </c>
      <c r="C9" s="9">
        <f t="shared" si="0"/>
        <v>0.20845921450151059</v>
      </c>
    </row>
    <row r="10" spans="1:3" ht="29" x14ac:dyDescent="0.35">
      <c r="A10" s="49" t="s">
        <v>278</v>
      </c>
      <c r="B10">
        <v>31</v>
      </c>
      <c r="C10" s="9">
        <f t="shared" si="0"/>
        <v>9.3655589123867067E-2</v>
      </c>
    </row>
  </sheetData>
  <sheetProtection algorithmName="SHA-512" hashValue="+eqLEGSNP9hal56pRMM7Cs3jIBA+COEpn+Ii3V6om5WeE6DkjpJQPnMykPhfO7LWhPIGmiAFemn5DQJOL3Dl+w==" saltValue="8g3U3PVok86s1zow3YDCwQ==" spinCount="100000" sheet="1" objects="1" scenarios="1"/>
  <hyperlinks>
    <hyperlink ref="A1" location="Contents!A1" display="Back to contents page" xr:uid="{295B1500-0836-4D14-B257-9B4739A3C0B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A7793-6D90-4D09-AC79-F988D401BBE5}">
  <dimension ref="A1:C12"/>
  <sheetViews>
    <sheetView workbookViewId="0"/>
  </sheetViews>
  <sheetFormatPr defaultRowHeight="14.5" x14ac:dyDescent="0.35"/>
  <cols>
    <col min="1" max="1" width="33.81640625" customWidth="1"/>
    <col min="2" max="2" width="21.1796875" bestFit="1" customWidth="1"/>
    <col min="3" max="3" width="15.54296875" bestFit="1" customWidth="1"/>
  </cols>
  <sheetData>
    <row r="1" spans="1:3" x14ac:dyDescent="0.35">
      <c r="A1" s="7" t="s">
        <v>18</v>
      </c>
    </row>
    <row r="2" spans="1:3" ht="15.5" x14ac:dyDescent="0.35">
      <c r="A2" s="50" t="s">
        <v>101</v>
      </c>
    </row>
    <row r="4" spans="1:3" ht="29" x14ac:dyDescent="0.35">
      <c r="A4" s="19" t="s">
        <v>105</v>
      </c>
      <c r="B4" s="8" t="s">
        <v>20</v>
      </c>
      <c r="C4" s="8" t="s">
        <v>21</v>
      </c>
    </row>
    <row r="5" spans="1:3" x14ac:dyDescent="0.35">
      <c r="A5" t="s">
        <v>113</v>
      </c>
      <c r="B5">
        <v>131</v>
      </c>
      <c r="C5" s="9">
        <f>B5/331</f>
        <v>0.39577039274924469</v>
      </c>
    </row>
    <row r="6" spans="1:3" x14ac:dyDescent="0.35">
      <c r="A6" t="s">
        <v>112</v>
      </c>
      <c r="B6">
        <v>35</v>
      </c>
      <c r="C6" s="9">
        <f>B6/331</f>
        <v>0.10574018126888217</v>
      </c>
    </row>
    <row r="7" spans="1:3" x14ac:dyDescent="0.35">
      <c r="A7" t="s">
        <v>111</v>
      </c>
      <c r="B7">
        <v>62</v>
      </c>
      <c r="C7" s="9">
        <f>B7/331</f>
        <v>0.18731117824773413</v>
      </c>
    </row>
    <row r="8" spans="1:3" x14ac:dyDescent="0.35">
      <c r="A8" t="s">
        <v>110</v>
      </c>
      <c r="B8">
        <v>37</v>
      </c>
      <c r="C8" s="9">
        <f t="shared" ref="C8:C12" si="0">B8/331</f>
        <v>0.11178247734138973</v>
      </c>
    </row>
    <row r="9" spans="1:3" x14ac:dyDescent="0.35">
      <c r="A9" t="s">
        <v>109</v>
      </c>
      <c r="B9">
        <v>13</v>
      </c>
      <c r="C9" s="9">
        <f>B9/331</f>
        <v>3.9274924471299093E-2</v>
      </c>
    </row>
    <row r="10" spans="1:3" x14ac:dyDescent="0.35">
      <c r="A10" t="s">
        <v>108</v>
      </c>
      <c r="B10">
        <v>11</v>
      </c>
      <c r="C10" s="9">
        <f>B10/331</f>
        <v>3.3232628398791542E-2</v>
      </c>
    </row>
    <row r="11" spans="1:3" x14ac:dyDescent="0.35">
      <c r="A11" t="s">
        <v>107</v>
      </c>
      <c r="B11">
        <v>21</v>
      </c>
      <c r="C11" s="9">
        <f>B11/331</f>
        <v>6.3444108761329304E-2</v>
      </c>
    </row>
    <row r="12" spans="1:3" x14ac:dyDescent="0.35">
      <c r="A12" t="s">
        <v>114</v>
      </c>
      <c r="B12">
        <v>20</v>
      </c>
      <c r="C12" s="9">
        <f t="shared" si="0"/>
        <v>6.0422960725075532E-2</v>
      </c>
    </row>
  </sheetData>
  <sheetProtection algorithmName="SHA-512" hashValue="k/+M15tvk9IvtqCAa/vdzUCvwkwX4fNmRAMj5xZnVU5G0C18cl483SGzkkoW5jt8FlNA2Jz+QJzBpacrNxL39w==" saltValue="B/oo56PtN00LyzKRuNSXgQ==" spinCount="100000" sheet="1" objects="1" scenarios="1"/>
  <hyperlinks>
    <hyperlink ref="A1" location="Contents!A1" display="Back to contents page" xr:uid="{0D16E948-8FD0-4AA8-8B81-3C6030AE389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04C61-C88C-4E82-A4FD-B6DD25668B6D}">
  <dimension ref="A1:C8"/>
  <sheetViews>
    <sheetView workbookViewId="0"/>
  </sheetViews>
  <sheetFormatPr defaultRowHeight="14.5" x14ac:dyDescent="0.35"/>
  <cols>
    <col min="1" max="1" width="43.453125" customWidth="1"/>
    <col min="2" max="2" width="21.1796875" bestFit="1" customWidth="1"/>
    <col min="3" max="3" width="15.54296875" bestFit="1" customWidth="1"/>
  </cols>
  <sheetData>
    <row r="1" spans="1:3" x14ac:dyDescent="0.35">
      <c r="A1" s="7" t="s">
        <v>18</v>
      </c>
    </row>
    <row r="2" spans="1:3" ht="15.5" x14ac:dyDescent="0.35">
      <c r="A2" s="50" t="s">
        <v>103</v>
      </c>
    </row>
    <row r="4" spans="1:3" ht="29" x14ac:dyDescent="0.35">
      <c r="A4" s="19" t="s">
        <v>115</v>
      </c>
      <c r="B4" s="8" t="s">
        <v>20</v>
      </c>
      <c r="C4" s="8" t="s">
        <v>21</v>
      </c>
    </row>
    <row r="5" spans="1:3" x14ac:dyDescent="0.35">
      <c r="A5" t="s">
        <v>119</v>
      </c>
      <c r="B5">
        <v>147</v>
      </c>
      <c r="C5" s="9">
        <f>B5/331</f>
        <v>0.44410876132930516</v>
      </c>
    </row>
    <row r="6" spans="1:3" x14ac:dyDescent="0.35">
      <c r="A6" t="s">
        <v>118</v>
      </c>
      <c r="B6">
        <v>128</v>
      </c>
      <c r="C6" s="9">
        <f t="shared" ref="C6:C8" si="0">B6/331</f>
        <v>0.38670694864048338</v>
      </c>
    </row>
    <row r="7" spans="1:3" x14ac:dyDescent="0.35">
      <c r="A7" t="s">
        <v>117</v>
      </c>
      <c r="B7">
        <v>30</v>
      </c>
      <c r="C7" s="9">
        <f t="shared" si="0"/>
        <v>9.0634441087613288E-2</v>
      </c>
    </row>
    <row r="8" spans="1:3" x14ac:dyDescent="0.35">
      <c r="A8" t="s">
        <v>116</v>
      </c>
      <c r="B8">
        <v>27</v>
      </c>
      <c r="C8" s="9">
        <f t="shared" si="0"/>
        <v>8.1570996978851965E-2</v>
      </c>
    </row>
  </sheetData>
  <sheetProtection algorithmName="SHA-512" hashValue="5lt2Z7AS/qrSzIdefZ4mUCFj4KmpeCAH7Hd3X8OpTy8eZy9067IdF9UtYCShobLDL1lPjK6n/P6uhA2eEWD5VQ==" saltValue="AyAkn1LXNtbvJY70EJJ4bQ==" spinCount="100000" sheet="1" objects="1" scenarios="1"/>
  <sortState xmlns:xlrd2="http://schemas.microsoft.com/office/spreadsheetml/2017/richdata2" ref="A5:C8">
    <sortCondition descending="1" ref="B8"/>
  </sortState>
  <hyperlinks>
    <hyperlink ref="A1" location="Contents!A1" display="Back to contents page" xr:uid="{B5AEB401-56F3-450C-93C2-AE49525FCF9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3292C-ECA5-4EE3-8974-E9086CE5397D}">
  <dimension ref="A1:B21"/>
  <sheetViews>
    <sheetView workbookViewId="0">
      <selection activeCell="F21" sqref="F21"/>
    </sheetView>
  </sheetViews>
  <sheetFormatPr defaultRowHeight="14.5" x14ac:dyDescent="0.35"/>
  <cols>
    <col min="1" max="1" width="27.453125" customWidth="1"/>
    <col min="2" max="2" width="20.81640625" customWidth="1"/>
  </cols>
  <sheetData>
    <row r="1" spans="1:2" x14ac:dyDescent="0.35">
      <c r="A1" s="7" t="s">
        <v>18</v>
      </c>
    </row>
    <row r="2" spans="1:2" x14ac:dyDescent="0.35">
      <c r="A2" s="16" t="s">
        <v>120</v>
      </c>
    </row>
    <row r="4" spans="1:2" ht="29" x14ac:dyDescent="0.35">
      <c r="A4" s="19" t="s">
        <v>121</v>
      </c>
      <c r="B4" s="19" t="s">
        <v>49</v>
      </c>
    </row>
    <row r="5" spans="1:2" x14ac:dyDescent="0.35">
      <c r="A5" s="17">
        <v>0</v>
      </c>
      <c r="B5">
        <v>129</v>
      </c>
    </row>
    <row r="6" spans="1:2" x14ac:dyDescent="0.35">
      <c r="A6" s="17">
        <v>0.01</v>
      </c>
      <c r="B6">
        <v>21</v>
      </c>
    </row>
    <row r="7" spans="1:2" x14ac:dyDescent="0.35">
      <c r="A7" s="17">
        <v>0.02</v>
      </c>
      <c r="B7">
        <v>39</v>
      </c>
    </row>
    <row r="8" spans="1:2" x14ac:dyDescent="0.35">
      <c r="A8" s="17">
        <v>0.03</v>
      </c>
      <c r="B8">
        <v>29</v>
      </c>
    </row>
    <row r="9" spans="1:2" x14ac:dyDescent="0.35">
      <c r="A9" s="17">
        <v>0.04</v>
      </c>
      <c r="B9">
        <v>7</v>
      </c>
    </row>
    <row r="10" spans="1:2" x14ac:dyDescent="0.35">
      <c r="A10" s="17">
        <v>0.05</v>
      </c>
      <c r="B10">
        <v>31</v>
      </c>
    </row>
    <row r="11" spans="1:2" x14ac:dyDescent="0.35">
      <c r="A11" s="17">
        <v>0.06</v>
      </c>
      <c r="B11">
        <v>6</v>
      </c>
    </row>
    <row r="12" spans="1:2" x14ac:dyDescent="0.35">
      <c r="A12" s="17">
        <v>7.0000000000000007E-2</v>
      </c>
      <c r="B12">
        <v>6</v>
      </c>
    </row>
    <row r="13" spans="1:2" x14ac:dyDescent="0.35">
      <c r="A13" s="17">
        <v>0.08</v>
      </c>
      <c r="B13">
        <v>11</v>
      </c>
    </row>
    <row r="14" spans="1:2" x14ac:dyDescent="0.35">
      <c r="A14" s="17">
        <v>0.09</v>
      </c>
      <c r="B14">
        <v>4</v>
      </c>
    </row>
    <row r="15" spans="1:2" x14ac:dyDescent="0.35">
      <c r="A15" s="17">
        <v>0.1</v>
      </c>
      <c r="B15">
        <v>15</v>
      </c>
    </row>
    <row r="16" spans="1:2" x14ac:dyDescent="0.35">
      <c r="A16" s="17">
        <v>0.12</v>
      </c>
      <c r="B16">
        <v>2</v>
      </c>
    </row>
    <row r="17" spans="1:2" x14ac:dyDescent="0.35">
      <c r="A17" s="17">
        <v>0.15</v>
      </c>
      <c r="B17">
        <v>1</v>
      </c>
    </row>
    <row r="18" spans="1:2" x14ac:dyDescent="0.35">
      <c r="A18" s="17">
        <v>0.18</v>
      </c>
      <c r="B18">
        <v>1</v>
      </c>
    </row>
    <row r="19" spans="1:2" x14ac:dyDescent="0.35">
      <c r="A19" s="17">
        <v>0.2</v>
      </c>
      <c r="B19">
        <v>2</v>
      </c>
    </row>
    <row r="20" spans="1:2" x14ac:dyDescent="0.35">
      <c r="A20" t="s">
        <v>114</v>
      </c>
      <c r="B20">
        <v>9</v>
      </c>
    </row>
    <row r="21" spans="1:2" x14ac:dyDescent="0.35">
      <c r="A21" s="8" t="s">
        <v>204</v>
      </c>
      <c r="B21" s="9">
        <f>SUMPRODUCT(A5:A19, B5:B19)/SUM(B5:B19)</f>
        <v>2.6907894736842103E-2</v>
      </c>
    </row>
  </sheetData>
  <sheetProtection algorithmName="SHA-512" hashValue="ue1MMLcS1IVGYTL6+7vs8C77bpBRGbAxiGlZF50zYrQBcp+IzcCOWLM394aSfN5dlDdc5Xk0lgGCZ5dx/5DObw==" saltValue="eFjlGOSabzFzPt70BgJ9xA==" spinCount="100000" sheet="1" objects="1" scenarios="1"/>
  <hyperlinks>
    <hyperlink ref="A1" location="Contents!A1" display="Back to contents page" xr:uid="{320174D0-E076-4763-A433-F2C3B84FC3A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9D5AB-62EC-4919-A77F-A956487B65D8}">
  <dimension ref="A1:E13"/>
  <sheetViews>
    <sheetView workbookViewId="0">
      <selection activeCell="A4" sqref="A4"/>
    </sheetView>
  </sheetViews>
  <sheetFormatPr defaultRowHeight="14.5" x14ac:dyDescent="0.35"/>
  <cols>
    <col min="1" max="1" width="49.81640625" customWidth="1"/>
    <col min="2" max="2" width="23.453125" bestFit="1" customWidth="1"/>
    <col min="3" max="3" width="18" bestFit="1" customWidth="1"/>
    <col min="4" max="4" width="27.453125" bestFit="1" customWidth="1"/>
    <col min="5" max="5" width="29.81640625" customWidth="1"/>
  </cols>
  <sheetData>
    <row r="1" spans="1:5" x14ac:dyDescent="0.35">
      <c r="A1" s="7" t="s">
        <v>18</v>
      </c>
    </row>
    <row r="2" spans="1:5" ht="15.5" x14ac:dyDescent="0.35">
      <c r="A2" s="50" t="s">
        <v>132</v>
      </c>
    </row>
    <row r="3" spans="1:5" x14ac:dyDescent="0.35">
      <c r="A3" s="53" t="s">
        <v>367</v>
      </c>
    </row>
    <row r="5" spans="1:5" ht="58" x14ac:dyDescent="0.35">
      <c r="A5" s="19" t="s">
        <v>142</v>
      </c>
      <c r="B5" s="8" t="s">
        <v>284</v>
      </c>
      <c r="C5" s="8" t="s">
        <v>213</v>
      </c>
      <c r="D5" s="19" t="s">
        <v>285</v>
      </c>
      <c r="E5" s="19" t="s">
        <v>286</v>
      </c>
    </row>
    <row r="6" spans="1:5" x14ac:dyDescent="0.35">
      <c r="A6" t="s">
        <v>143</v>
      </c>
      <c r="B6">
        <v>12</v>
      </c>
      <c r="C6" s="9">
        <f>B6/216</f>
        <v>5.5555555555555552E-2</v>
      </c>
      <c r="D6">
        <v>11</v>
      </c>
      <c r="E6" s="9">
        <f>D6/(SUM(D6:D7))</f>
        <v>7.9710144927536225E-2</v>
      </c>
    </row>
    <row r="7" spans="1:5" x14ac:dyDescent="0.35">
      <c r="A7" t="s">
        <v>144</v>
      </c>
      <c r="B7">
        <v>204</v>
      </c>
      <c r="C7" s="9">
        <f>B7/216</f>
        <v>0.94444444444444442</v>
      </c>
      <c r="D7">
        <v>127</v>
      </c>
      <c r="E7" s="9">
        <f>D7/(SUM(D6:D7))</f>
        <v>0.92028985507246375</v>
      </c>
    </row>
    <row r="8" spans="1:5" x14ac:dyDescent="0.35">
      <c r="A8" s="8"/>
      <c r="B8" s="8"/>
      <c r="C8" s="10"/>
    </row>
    <row r="10" spans="1:5" x14ac:dyDescent="0.35">
      <c r="A10" s="19"/>
      <c r="B10" s="8"/>
      <c r="C10" s="8"/>
    </row>
    <row r="11" spans="1:5" x14ac:dyDescent="0.35">
      <c r="C11" s="9"/>
    </row>
    <row r="12" spans="1:5" x14ac:dyDescent="0.35">
      <c r="C12" s="9"/>
    </row>
    <row r="13" spans="1:5" x14ac:dyDescent="0.35">
      <c r="A13" s="8"/>
      <c r="B13" s="8"/>
      <c r="C13" s="52"/>
    </row>
  </sheetData>
  <sheetProtection algorithmName="SHA-512" hashValue="WfzcvuWcyBzAaHMv4KHXhiy8RM+EDksLZkNRGaFXu69AsYovH+HhdKLiaUIo0MwhpKRe3fl/nh7QpUxwvegWMQ==" saltValue="OElapAWNHj84INBOGGLVRw==" spinCount="100000" sheet="1" objects="1" scenarios="1"/>
  <hyperlinks>
    <hyperlink ref="A1" location="Contents!A1" display="Back to contents page" xr:uid="{7446A6B9-53AB-4593-9791-440DC1F40A0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3AA5-68DF-456B-8E83-441D2C173A62}">
  <dimension ref="A1:C6"/>
  <sheetViews>
    <sheetView workbookViewId="0"/>
  </sheetViews>
  <sheetFormatPr defaultRowHeight="14.5" x14ac:dyDescent="0.35"/>
  <cols>
    <col min="1" max="1" width="35.1796875" customWidth="1"/>
    <col min="2" max="2" width="21.1796875" bestFit="1" customWidth="1"/>
    <col min="3" max="3" width="15.54296875" bestFit="1" customWidth="1"/>
  </cols>
  <sheetData>
    <row r="1" spans="1:3" x14ac:dyDescent="0.35">
      <c r="A1" s="7" t="s">
        <v>18</v>
      </c>
    </row>
    <row r="2" spans="1:3" ht="15.5" x14ac:dyDescent="0.35">
      <c r="A2" s="50" t="s">
        <v>131</v>
      </c>
    </row>
    <row r="4" spans="1:3" ht="43.5" x14ac:dyDescent="0.35">
      <c r="A4" s="19" t="s">
        <v>145</v>
      </c>
      <c r="B4" s="8" t="s">
        <v>20</v>
      </c>
      <c r="C4" s="8" t="s">
        <v>21</v>
      </c>
    </row>
    <row r="5" spans="1:3" x14ac:dyDescent="0.35">
      <c r="A5" t="s">
        <v>144</v>
      </c>
      <c r="B5">
        <v>243</v>
      </c>
      <c r="C5" s="9">
        <f>B5/331</f>
        <v>0.73413897280966767</v>
      </c>
    </row>
    <row r="6" spans="1:3" x14ac:dyDescent="0.35">
      <c r="A6" t="s">
        <v>143</v>
      </c>
      <c r="B6">
        <v>88</v>
      </c>
      <c r="C6" s="9">
        <f>B6/331</f>
        <v>0.26586102719033233</v>
      </c>
    </row>
  </sheetData>
  <sheetProtection algorithmName="SHA-512" hashValue="eHbLXjU/Ad9qpU9rzNLmXxCpJSyJ1Rh5a5PBtcNkXgs7ih0MMGkTfWesVZrHU2IZJyyJoXoQKgoPO8xAwALyDA==" saltValue="WP37Htoua26vcrUDBB/+JQ==" spinCount="100000" sheet="1" objects="1" scenarios="1"/>
  <hyperlinks>
    <hyperlink ref="A1" location="Contents!A1" display="Back to contents page" xr:uid="{9FAB1826-83B3-4D92-93CE-7A31B647DF5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FED7-1D00-4EF9-8846-420AE7903F6D}">
  <dimension ref="A1:C8"/>
  <sheetViews>
    <sheetView workbookViewId="0"/>
  </sheetViews>
  <sheetFormatPr defaultRowHeight="14.5" x14ac:dyDescent="0.35"/>
  <cols>
    <col min="1" max="1" width="36.54296875" customWidth="1"/>
    <col min="2" max="2" width="21.1796875" bestFit="1" customWidth="1"/>
    <col min="3" max="3" width="15.54296875" bestFit="1" customWidth="1"/>
  </cols>
  <sheetData>
    <row r="1" spans="1:3" x14ac:dyDescent="0.35">
      <c r="A1" s="7" t="s">
        <v>18</v>
      </c>
    </row>
    <row r="2" spans="1:3" ht="15.5" x14ac:dyDescent="0.35">
      <c r="A2" s="50" t="s">
        <v>134</v>
      </c>
    </row>
    <row r="3" spans="1:3" x14ac:dyDescent="0.35">
      <c r="A3" s="3" t="s">
        <v>92</v>
      </c>
    </row>
    <row r="5" spans="1:3" ht="43.5" x14ac:dyDescent="0.35">
      <c r="A5" s="19" t="s">
        <v>146</v>
      </c>
      <c r="B5" s="8" t="s">
        <v>20</v>
      </c>
      <c r="C5" s="8" t="s">
        <v>21</v>
      </c>
    </row>
    <row r="6" spans="1:3" x14ac:dyDescent="0.35">
      <c r="A6" t="s">
        <v>147</v>
      </c>
      <c r="B6">
        <v>276</v>
      </c>
      <c r="C6" s="9">
        <f>B6/331</f>
        <v>0.83383685800604235</v>
      </c>
    </row>
    <row r="7" spans="1:3" x14ac:dyDescent="0.35">
      <c r="A7" t="s">
        <v>148</v>
      </c>
      <c r="B7">
        <v>127</v>
      </c>
      <c r="C7" s="9">
        <f t="shared" ref="C7:C8" si="0">B7/331</f>
        <v>0.38368580060422963</v>
      </c>
    </row>
    <row r="8" spans="1:3" x14ac:dyDescent="0.35">
      <c r="A8" t="s">
        <v>89</v>
      </c>
      <c r="B8">
        <v>40</v>
      </c>
      <c r="C8" s="9">
        <f t="shared" si="0"/>
        <v>0.12084592145015106</v>
      </c>
    </row>
  </sheetData>
  <sheetProtection algorithmName="SHA-512" hashValue="EFclctMFZw5idSBQ7ZSEavHtq0gnCDweayoIMsfsLpxkH5WIco8ZvmE0a2VCoH0yIXsIWP0Mhcq3gwPl5P1sfw==" saltValue="gXNv7fO3e5rQcYY+Xz9pyw==" spinCount="100000" sheet="1" objects="1" scenarios="1"/>
  <hyperlinks>
    <hyperlink ref="A1" location="Contents!A1" display="Back to contents page" xr:uid="{2584DA14-B201-4AB7-BD3B-5989E111216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FAB3-80F5-4A8A-B1BA-C7CD356855BD}">
  <dimension ref="A1:C8"/>
  <sheetViews>
    <sheetView workbookViewId="0">
      <selection activeCell="A19" sqref="A19"/>
    </sheetView>
  </sheetViews>
  <sheetFormatPr defaultRowHeight="14.5" x14ac:dyDescent="0.35"/>
  <cols>
    <col min="1" max="1" width="88.54296875" bestFit="1" customWidth="1"/>
    <col min="2" max="2" width="21.1796875" bestFit="1" customWidth="1"/>
    <col min="3" max="3" width="15.54296875" bestFit="1" customWidth="1"/>
  </cols>
  <sheetData>
    <row r="1" spans="1:3" x14ac:dyDescent="0.35">
      <c r="A1" s="7" t="s">
        <v>18</v>
      </c>
    </row>
    <row r="2" spans="1:3" x14ac:dyDescent="0.35">
      <c r="A2" s="16" t="s">
        <v>135</v>
      </c>
    </row>
    <row r="4" spans="1:3" ht="43.5" x14ac:dyDescent="0.35">
      <c r="A4" s="19" t="s">
        <v>149</v>
      </c>
      <c r="B4" s="8" t="s">
        <v>20</v>
      </c>
      <c r="C4" s="8" t="s">
        <v>21</v>
      </c>
    </row>
    <row r="5" spans="1:3" x14ac:dyDescent="0.35">
      <c r="A5" t="s">
        <v>150</v>
      </c>
      <c r="B5">
        <v>149</v>
      </c>
      <c r="C5" s="9">
        <f>B5/331</f>
        <v>0.45015105740181272</v>
      </c>
    </row>
    <row r="6" spans="1:3" x14ac:dyDescent="0.35">
      <c r="A6" t="s">
        <v>152</v>
      </c>
      <c r="B6">
        <v>174</v>
      </c>
      <c r="C6" s="9">
        <f t="shared" ref="C6:C8" si="0">B6/331</f>
        <v>0.52567975830815705</v>
      </c>
    </row>
    <row r="7" spans="1:3" x14ac:dyDescent="0.35">
      <c r="A7" t="s">
        <v>151</v>
      </c>
      <c r="B7">
        <v>193</v>
      </c>
      <c r="C7" s="9">
        <f t="shared" si="0"/>
        <v>0.58308157099697888</v>
      </c>
    </row>
    <row r="8" spans="1:3" x14ac:dyDescent="0.35">
      <c r="A8" t="s">
        <v>153</v>
      </c>
      <c r="B8">
        <v>127</v>
      </c>
      <c r="C8" s="9">
        <f t="shared" si="0"/>
        <v>0.38368580060422963</v>
      </c>
    </row>
  </sheetData>
  <sheetProtection algorithmName="SHA-512" hashValue="juJqJqIjXBRME8D9Y/hznK7QYTL7d7mo2o1qf9JBkUsLhPprZIdcVSNuR5YOdoq8O3BEf802l9RlNjuQFhv0Uw==" saltValue="OHekXO8dVRx8fjeojzUAhA==" spinCount="100000" sheet="1" objects="1" scenarios="1"/>
  <hyperlinks>
    <hyperlink ref="A1" location="Contents!A1" display="Back to contents page" xr:uid="{8BE0EB72-0597-4A88-9D3C-F6BB515258A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FC27B-5F7D-4585-92CD-8592470D7585}">
  <dimension ref="A1:C13"/>
  <sheetViews>
    <sheetView workbookViewId="0"/>
  </sheetViews>
  <sheetFormatPr defaultRowHeight="14.5" x14ac:dyDescent="0.35"/>
  <cols>
    <col min="1" max="1" width="60.453125" bestFit="1" customWidth="1"/>
    <col min="2" max="2" width="21.1796875" bestFit="1" customWidth="1"/>
    <col min="3" max="3" width="15.54296875" bestFit="1" customWidth="1"/>
  </cols>
  <sheetData>
    <row r="1" spans="1:3" x14ac:dyDescent="0.35">
      <c r="A1" s="7" t="s">
        <v>18</v>
      </c>
    </row>
    <row r="2" spans="1:3" ht="15.5" x14ac:dyDescent="0.35">
      <c r="A2" s="50" t="s">
        <v>136</v>
      </c>
    </row>
    <row r="3" spans="1:3" x14ac:dyDescent="0.35">
      <c r="A3" s="3" t="s">
        <v>92</v>
      </c>
    </row>
    <row r="5" spans="1:3" x14ac:dyDescent="0.35">
      <c r="A5" s="8" t="s">
        <v>154</v>
      </c>
      <c r="B5" s="8" t="s">
        <v>20</v>
      </c>
      <c r="C5" s="8" t="s">
        <v>21</v>
      </c>
    </row>
    <row r="6" spans="1:3" x14ac:dyDescent="0.35">
      <c r="A6" t="s">
        <v>155</v>
      </c>
      <c r="B6">
        <v>221</v>
      </c>
      <c r="C6" s="9">
        <f>B6/331</f>
        <v>0.66767371601208458</v>
      </c>
    </row>
    <row r="7" spans="1:3" x14ac:dyDescent="0.35">
      <c r="A7" t="s">
        <v>156</v>
      </c>
      <c r="B7">
        <v>84</v>
      </c>
      <c r="C7" s="9">
        <f t="shared" ref="C7:C13" si="0">B7/331</f>
        <v>0.25377643504531722</v>
      </c>
    </row>
    <row r="8" spans="1:3" x14ac:dyDescent="0.35">
      <c r="A8" t="s">
        <v>157</v>
      </c>
      <c r="B8">
        <v>50</v>
      </c>
      <c r="C8" s="9">
        <f t="shared" si="0"/>
        <v>0.15105740181268881</v>
      </c>
    </row>
    <row r="9" spans="1:3" x14ac:dyDescent="0.35">
      <c r="A9" t="s">
        <v>158</v>
      </c>
      <c r="B9">
        <v>48</v>
      </c>
      <c r="C9" s="9">
        <f t="shared" si="0"/>
        <v>0.14501510574018128</v>
      </c>
    </row>
    <row r="10" spans="1:3" x14ac:dyDescent="0.35">
      <c r="A10" t="s">
        <v>159</v>
      </c>
      <c r="B10">
        <v>42</v>
      </c>
      <c r="C10" s="9">
        <f t="shared" si="0"/>
        <v>0.12688821752265861</v>
      </c>
    </row>
    <row r="11" spans="1:3" x14ac:dyDescent="0.35">
      <c r="A11" t="s">
        <v>160</v>
      </c>
      <c r="B11">
        <v>35</v>
      </c>
      <c r="C11" s="9">
        <f t="shared" si="0"/>
        <v>0.10574018126888217</v>
      </c>
    </row>
    <row r="12" spans="1:3" x14ac:dyDescent="0.35">
      <c r="A12" t="s">
        <v>161</v>
      </c>
      <c r="B12">
        <v>26</v>
      </c>
      <c r="C12" s="9">
        <f t="shared" si="0"/>
        <v>7.8549848942598186E-2</v>
      </c>
    </row>
    <row r="13" spans="1:3" x14ac:dyDescent="0.35">
      <c r="A13" t="s">
        <v>162</v>
      </c>
      <c r="B13">
        <v>4</v>
      </c>
      <c r="C13" s="9">
        <f t="shared" si="0"/>
        <v>1.2084592145015106E-2</v>
      </c>
    </row>
  </sheetData>
  <sheetProtection algorithmName="SHA-512" hashValue="DHw0oQBLd/Fgobw5aXXiY5URQnplUYHAIc4cfgkobn0i42K/1JYz6nFVyADCJe2aKL8n2v+545mfSfmTk3HeEw==" saltValue="Oo/+Cter3ylMruPh17dFpA==" spinCount="100000" sheet="1" objects="1" scenarios="1"/>
  <hyperlinks>
    <hyperlink ref="A1" location="Contents!A1" display="Back to contents page" xr:uid="{5B204E82-31DD-4FB3-8078-F1EF6A15B1B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6CEFC-0DD5-4ED5-BEC4-E9A15E525EC9}">
  <dimension ref="A1:C19"/>
  <sheetViews>
    <sheetView workbookViewId="0"/>
  </sheetViews>
  <sheetFormatPr defaultRowHeight="14.5" x14ac:dyDescent="0.35"/>
  <cols>
    <col min="1" max="1" width="62.54296875" bestFit="1" customWidth="1"/>
    <col min="2" max="2" width="21.1796875" bestFit="1" customWidth="1"/>
    <col min="3" max="3" width="15.54296875" bestFit="1" customWidth="1"/>
  </cols>
  <sheetData>
    <row r="1" spans="1:3" x14ac:dyDescent="0.35">
      <c r="A1" s="7" t="s">
        <v>18</v>
      </c>
    </row>
    <row r="2" spans="1:3" ht="15.5" x14ac:dyDescent="0.35">
      <c r="A2" s="50" t="s">
        <v>287</v>
      </c>
    </row>
    <row r="3" spans="1:3" x14ac:dyDescent="0.35">
      <c r="A3" s="3" t="s">
        <v>92</v>
      </c>
    </row>
    <row r="5" spans="1:3" ht="29" x14ac:dyDescent="0.35">
      <c r="A5" s="19" t="s">
        <v>163</v>
      </c>
      <c r="B5" s="8" t="s">
        <v>20</v>
      </c>
      <c r="C5" s="8" t="s">
        <v>21</v>
      </c>
    </row>
    <row r="6" spans="1:3" x14ac:dyDescent="0.35">
      <c r="A6" t="s">
        <v>164</v>
      </c>
      <c r="B6">
        <v>130</v>
      </c>
      <c r="C6" s="9">
        <f>B6/331</f>
        <v>0.39274924471299094</v>
      </c>
    </row>
    <row r="7" spans="1:3" x14ac:dyDescent="0.35">
      <c r="A7" t="s">
        <v>165</v>
      </c>
      <c r="B7">
        <v>128</v>
      </c>
      <c r="C7" s="9">
        <f t="shared" ref="C7:C19" si="0">B7/331</f>
        <v>0.38670694864048338</v>
      </c>
    </row>
    <row r="8" spans="1:3" x14ac:dyDescent="0.35">
      <c r="A8" t="s">
        <v>166</v>
      </c>
      <c r="B8">
        <v>77</v>
      </c>
      <c r="C8" s="9">
        <f t="shared" si="0"/>
        <v>0.23262839879154079</v>
      </c>
    </row>
    <row r="9" spans="1:3" x14ac:dyDescent="0.35">
      <c r="A9" t="s">
        <v>167</v>
      </c>
      <c r="B9">
        <v>75</v>
      </c>
      <c r="C9" s="9">
        <f t="shared" si="0"/>
        <v>0.22658610271903323</v>
      </c>
    </row>
    <row r="10" spans="1:3" x14ac:dyDescent="0.35">
      <c r="A10" t="s">
        <v>168</v>
      </c>
      <c r="B10">
        <v>72</v>
      </c>
      <c r="C10" s="9">
        <f t="shared" si="0"/>
        <v>0.2175226586102719</v>
      </c>
    </row>
    <row r="11" spans="1:3" x14ac:dyDescent="0.35">
      <c r="A11" t="s">
        <v>169</v>
      </c>
      <c r="B11">
        <v>65</v>
      </c>
      <c r="C11" s="9">
        <f t="shared" si="0"/>
        <v>0.19637462235649547</v>
      </c>
    </row>
    <row r="12" spans="1:3" x14ac:dyDescent="0.35">
      <c r="A12" t="s">
        <v>170</v>
      </c>
      <c r="B12">
        <v>54</v>
      </c>
      <c r="C12" s="9">
        <f t="shared" si="0"/>
        <v>0.16314199395770393</v>
      </c>
    </row>
    <row r="13" spans="1:3" x14ac:dyDescent="0.35">
      <c r="A13" t="s">
        <v>171</v>
      </c>
      <c r="B13">
        <v>50</v>
      </c>
      <c r="C13" s="9">
        <f t="shared" si="0"/>
        <v>0.15105740181268881</v>
      </c>
    </row>
    <row r="14" spans="1:3" x14ac:dyDescent="0.35">
      <c r="A14" t="s">
        <v>172</v>
      </c>
      <c r="B14">
        <v>19</v>
      </c>
      <c r="C14" s="9">
        <f t="shared" si="0"/>
        <v>5.7401812688821753E-2</v>
      </c>
    </row>
    <row r="15" spans="1:3" x14ac:dyDescent="0.35">
      <c r="A15" t="s">
        <v>173</v>
      </c>
      <c r="B15">
        <v>17</v>
      </c>
      <c r="C15" s="9">
        <f t="shared" si="0"/>
        <v>5.1359516616314202E-2</v>
      </c>
    </row>
    <row r="16" spans="1:3" x14ac:dyDescent="0.35">
      <c r="A16" t="s">
        <v>174</v>
      </c>
      <c r="B16">
        <v>8</v>
      </c>
      <c r="C16" s="9">
        <f t="shared" si="0"/>
        <v>2.4169184290030211E-2</v>
      </c>
    </row>
    <row r="17" spans="1:3" x14ac:dyDescent="0.35">
      <c r="A17" t="s">
        <v>175</v>
      </c>
      <c r="B17">
        <v>6</v>
      </c>
      <c r="C17" s="9">
        <f t="shared" si="0"/>
        <v>1.812688821752266E-2</v>
      </c>
    </row>
    <row r="18" spans="1:3" x14ac:dyDescent="0.35">
      <c r="A18" t="s">
        <v>176</v>
      </c>
      <c r="B18">
        <v>3</v>
      </c>
      <c r="C18" s="9">
        <f t="shared" si="0"/>
        <v>9.0634441087613302E-3</v>
      </c>
    </row>
    <row r="19" spans="1:3" x14ac:dyDescent="0.35">
      <c r="A19" t="s">
        <v>177</v>
      </c>
      <c r="B19">
        <v>2</v>
      </c>
      <c r="C19" s="9">
        <f t="shared" si="0"/>
        <v>6.0422960725075529E-3</v>
      </c>
    </row>
  </sheetData>
  <sheetProtection algorithmName="SHA-512" hashValue="ilOHBO49TEivYV3CZi6T5mIFCezL61LzAWD4C34RQC9BaTKiblpl6B6PANeFBnrb2mvt1UmAvazG0WrT+nmHIw==" saltValue="5xJb41p+ii4eqKVACvZW6Q==" spinCount="100000" sheet="1" objects="1" scenarios="1"/>
  <hyperlinks>
    <hyperlink ref="A1" location="Contents!A1" display="Back to contents page" xr:uid="{C7F01ABB-9D57-4409-98E8-3ED5099A57B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5EA-B558-4D1F-87C8-1FB924522465}">
  <dimension ref="A1:A8"/>
  <sheetViews>
    <sheetView showGridLines="0" workbookViewId="0">
      <selection activeCell="G10" sqref="G10"/>
    </sheetView>
  </sheetViews>
  <sheetFormatPr defaultRowHeight="14.5" x14ac:dyDescent="0.35"/>
  <sheetData>
    <row r="1" spans="1:1" x14ac:dyDescent="0.35">
      <c r="A1" t="s">
        <v>300</v>
      </c>
    </row>
    <row r="3" spans="1:1" x14ac:dyDescent="0.35">
      <c r="A3" t="s">
        <v>372</v>
      </c>
    </row>
    <row r="5" spans="1:1" x14ac:dyDescent="0.35">
      <c r="A5" t="s">
        <v>373</v>
      </c>
    </row>
    <row r="7" spans="1:1" x14ac:dyDescent="0.35">
      <c r="A7" t="s">
        <v>301</v>
      </c>
    </row>
    <row r="8" spans="1:1" x14ac:dyDescent="0.35">
      <c r="A8" t="s">
        <v>371</v>
      </c>
    </row>
  </sheetData>
  <sheetProtection algorithmName="SHA-512" hashValue="gahpky7z7DmpDdB7fT2xoc4gfTSpqB7m8wXhUXhyLIm3+U0EkN+sb+0Z6VYir+zcezalpUnkjCJIe6tJ/7btGg==" saltValue="d6jNFFxori4eqMH9G/a18Q==" spinCount="100000" sheet="1" objects="1" scenario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3858-BCD1-4F1B-A52F-89382BE04A20}">
  <dimension ref="A1:N120"/>
  <sheetViews>
    <sheetView zoomScaleNormal="100" workbookViewId="0">
      <selection activeCell="H11" sqref="H11"/>
    </sheetView>
  </sheetViews>
  <sheetFormatPr defaultRowHeight="14.5" x14ac:dyDescent="0.35"/>
  <cols>
    <col min="1" max="1" width="37.81640625" customWidth="1"/>
    <col min="2" max="2" width="29.7265625" customWidth="1"/>
    <col min="3" max="3" width="27.1796875" customWidth="1"/>
    <col min="4" max="4" width="17.81640625" customWidth="1"/>
    <col min="6" max="9" width="8.7265625" customWidth="1"/>
    <col min="11" max="14" width="8.7265625" customWidth="1"/>
  </cols>
  <sheetData>
    <row r="1" spans="1:4" x14ac:dyDescent="0.35">
      <c r="A1" s="7" t="s">
        <v>18</v>
      </c>
    </row>
    <row r="2" spans="1:4" ht="15.5" x14ac:dyDescent="0.35">
      <c r="A2" s="50" t="s">
        <v>265</v>
      </c>
    </row>
    <row r="3" spans="1:4" x14ac:dyDescent="0.35">
      <c r="A3" s="53" t="s">
        <v>370</v>
      </c>
    </row>
    <row r="5" spans="1:4" x14ac:dyDescent="0.35">
      <c r="A5" s="22" t="s">
        <v>19</v>
      </c>
      <c r="B5" s="23" t="s">
        <v>20</v>
      </c>
      <c r="C5" s="24" t="s">
        <v>21</v>
      </c>
    </row>
    <row r="6" spans="1:4" x14ac:dyDescent="0.35">
      <c r="A6" s="25" t="s">
        <v>22</v>
      </c>
      <c r="B6">
        <v>4</v>
      </c>
      <c r="C6" s="27">
        <f t="shared" ref="C6:C11" si="0">B6/331</f>
        <v>1.2084592145015106E-2</v>
      </c>
    </row>
    <row r="7" spans="1:4" x14ac:dyDescent="0.35">
      <c r="A7" s="25" t="s">
        <v>23</v>
      </c>
      <c r="B7">
        <v>37</v>
      </c>
      <c r="C7" s="27">
        <f t="shared" si="0"/>
        <v>0.11178247734138973</v>
      </c>
    </row>
    <row r="8" spans="1:4" x14ac:dyDescent="0.35">
      <c r="A8" s="45" t="s">
        <v>239</v>
      </c>
      <c r="B8" s="46">
        <v>180</v>
      </c>
      <c r="C8" s="47">
        <f t="shared" si="0"/>
        <v>0.54380664652567978</v>
      </c>
    </row>
    <row r="9" spans="1:4" x14ac:dyDescent="0.35">
      <c r="A9" s="25" t="s">
        <v>25</v>
      </c>
      <c r="B9">
        <v>86</v>
      </c>
      <c r="C9" s="27">
        <f t="shared" si="0"/>
        <v>0.25981873111782477</v>
      </c>
    </row>
    <row r="10" spans="1:4" x14ac:dyDescent="0.35">
      <c r="A10" s="25" t="s">
        <v>26</v>
      </c>
      <c r="B10">
        <v>21</v>
      </c>
      <c r="C10" s="27">
        <f t="shared" si="0"/>
        <v>6.3444108761329304E-2</v>
      </c>
    </row>
    <row r="11" spans="1:4" x14ac:dyDescent="0.35">
      <c r="A11" s="28" t="s">
        <v>27</v>
      </c>
      <c r="B11" s="29">
        <v>3</v>
      </c>
      <c r="C11" s="33">
        <f t="shared" si="0"/>
        <v>9.0634441087613302E-3</v>
      </c>
    </row>
    <row r="14" spans="1:4" ht="29" x14ac:dyDescent="0.35">
      <c r="A14" s="22" t="s">
        <v>31</v>
      </c>
      <c r="B14" s="23" t="s">
        <v>214</v>
      </c>
      <c r="C14" s="23" t="s">
        <v>212</v>
      </c>
      <c r="D14" s="24" t="s">
        <v>213</v>
      </c>
    </row>
    <row r="15" spans="1:4" x14ac:dyDescent="0.35">
      <c r="A15" s="25" t="s">
        <v>34</v>
      </c>
      <c r="B15">
        <v>72</v>
      </c>
      <c r="C15" s="26">
        <f t="shared" ref="C15:C37" si="1">B15/180</f>
        <v>0.4</v>
      </c>
      <c r="D15" s="27">
        <v>0.45317220543806647</v>
      </c>
    </row>
    <row r="16" spans="1:4" x14ac:dyDescent="0.35">
      <c r="A16" s="25" t="s">
        <v>35</v>
      </c>
      <c r="B16">
        <v>56</v>
      </c>
      <c r="C16" s="26">
        <f t="shared" si="1"/>
        <v>0.31111111111111112</v>
      </c>
      <c r="D16" s="27">
        <v>0.39274924471299094</v>
      </c>
    </row>
    <row r="17" spans="1:4" x14ac:dyDescent="0.35">
      <c r="A17" s="25" t="s">
        <v>37</v>
      </c>
      <c r="B17">
        <v>40</v>
      </c>
      <c r="C17" s="26">
        <f t="shared" si="1"/>
        <v>0.22222222222222221</v>
      </c>
      <c r="D17" s="27">
        <v>0.23564954682779457</v>
      </c>
    </row>
    <row r="18" spans="1:4" x14ac:dyDescent="0.35">
      <c r="A18" s="25" t="s">
        <v>38</v>
      </c>
      <c r="B18">
        <v>36</v>
      </c>
      <c r="C18" s="26">
        <f t="shared" si="1"/>
        <v>0.2</v>
      </c>
      <c r="D18" s="27">
        <v>0.19939577039274925</v>
      </c>
    </row>
    <row r="19" spans="1:4" x14ac:dyDescent="0.35">
      <c r="A19" s="25" t="s">
        <v>39</v>
      </c>
      <c r="B19">
        <v>35</v>
      </c>
      <c r="C19" s="26">
        <f t="shared" si="1"/>
        <v>0.19444444444444445</v>
      </c>
      <c r="D19" s="27">
        <v>0.16012084592145015</v>
      </c>
    </row>
    <row r="20" spans="1:4" x14ac:dyDescent="0.35">
      <c r="A20" s="25" t="s">
        <v>36</v>
      </c>
      <c r="B20">
        <v>34</v>
      </c>
      <c r="C20" s="26">
        <f t="shared" si="1"/>
        <v>0.18888888888888888</v>
      </c>
      <c r="D20" s="27">
        <v>0.25377643504531722</v>
      </c>
    </row>
    <row r="21" spans="1:4" x14ac:dyDescent="0.35">
      <c r="A21" s="25" t="s">
        <v>41</v>
      </c>
      <c r="B21">
        <v>26</v>
      </c>
      <c r="C21" s="26">
        <f t="shared" si="1"/>
        <v>0.14444444444444443</v>
      </c>
      <c r="D21" s="27">
        <v>0.15105740181268881</v>
      </c>
    </row>
    <row r="22" spans="1:4" x14ac:dyDescent="0.35">
      <c r="A22" s="25" t="s">
        <v>42</v>
      </c>
      <c r="B22">
        <v>26</v>
      </c>
      <c r="C22" s="26">
        <f t="shared" si="1"/>
        <v>0.14444444444444443</v>
      </c>
      <c r="D22" s="27">
        <v>0.13293051359516617</v>
      </c>
    </row>
    <row r="23" spans="1:4" x14ac:dyDescent="0.35">
      <c r="A23" s="25" t="s">
        <v>40</v>
      </c>
      <c r="B23">
        <v>23</v>
      </c>
      <c r="C23" s="26">
        <f t="shared" si="1"/>
        <v>0.12777777777777777</v>
      </c>
      <c r="D23" s="27">
        <v>0.16012084592145015</v>
      </c>
    </row>
    <row r="24" spans="1:4" x14ac:dyDescent="0.35">
      <c r="A24" s="25" t="s">
        <v>43</v>
      </c>
      <c r="B24">
        <v>23</v>
      </c>
      <c r="C24" s="26">
        <f t="shared" si="1"/>
        <v>0.12777777777777777</v>
      </c>
      <c r="D24" s="27">
        <v>0.12386706948640483</v>
      </c>
    </row>
    <row r="25" spans="1:4" x14ac:dyDescent="0.35">
      <c r="A25" s="25" t="s">
        <v>48</v>
      </c>
      <c r="B25">
        <v>14</v>
      </c>
      <c r="C25" s="26">
        <f t="shared" si="1"/>
        <v>7.7777777777777779E-2</v>
      </c>
      <c r="D25" s="27">
        <v>6.3444108761329304E-2</v>
      </c>
    </row>
    <row r="26" spans="1:4" x14ac:dyDescent="0.35">
      <c r="A26" s="25" t="s">
        <v>195</v>
      </c>
      <c r="B26">
        <v>10</v>
      </c>
      <c r="C26" s="26">
        <f t="shared" si="1"/>
        <v>5.5555555555555552E-2</v>
      </c>
      <c r="D26" s="27">
        <v>5.4380664652567974E-2</v>
      </c>
    </row>
    <row r="27" spans="1:4" x14ac:dyDescent="0.35">
      <c r="A27" s="25" t="s">
        <v>45</v>
      </c>
      <c r="B27">
        <v>10</v>
      </c>
      <c r="C27" s="26">
        <f t="shared" si="1"/>
        <v>5.5555555555555552E-2</v>
      </c>
      <c r="D27" s="27">
        <v>4.5317220543806644E-2</v>
      </c>
    </row>
    <row r="28" spans="1:4" x14ac:dyDescent="0.35">
      <c r="A28" s="25" t="s">
        <v>98</v>
      </c>
      <c r="B28">
        <v>9</v>
      </c>
      <c r="C28" s="26">
        <f t="shared" si="1"/>
        <v>0.05</v>
      </c>
      <c r="D28" s="27">
        <v>3.9274924471299093E-2</v>
      </c>
    </row>
    <row r="29" spans="1:4" x14ac:dyDescent="0.35">
      <c r="A29" s="25" t="s">
        <v>44</v>
      </c>
      <c r="B29">
        <v>8</v>
      </c>
      <c r="C29" s="26">
        <f t="shared" si="1"/>
        <v>4.4444444444444446E-2</v>
      </c>
      <c r="D29" s="27">
        <v>3.0211480362537766E-2</v>
      </c>
    </row>
    <row r="30" spans="1:4" x14ac:dyDescent="0.35">
      <c r="A30" s="25" t="s">
        <v>46</v>
      </c>
      <c r="B30">
        <v>7</v>
      </c>
      <c r="C30" s="26">
        <f t="shared" si="1"/>
        <v>3.888888888888889E-2</v>
      </c>
      <c r="D30" s="27">
        <v>2.1148036253776436E-2</v>
      </c>
    </row>
    <row r="31" spans="1:4" x14ac:dyDescent="0.35">
      <c r="A31" s="25" t="s">
        <v>129</v>
      </c>
      <c r="B31">
        <v>6</v>
      </c>
      <c r="C31" s="26">
        <f t="shared" si="1"/>
        <v>3.3333333333333333E-2</v>
      </c>
      <c r="D31" s="27">
        <v>3.3232628398791542E-2</v>
      </c>
    </row>
    <row r="32" spans="1:4" x14ac:dyDescent="0.35">
      <c r="A32" s="25" t="s">
        <v>96</v>
      </c>
      <c r="B32">
        <v>5</v>
      </c>
      <c r="C32" s="26">
        <f t="shared" si="1"/>
        <v>2.7777777777777776E-2</v>
      </c>
      <c r="D32" s="58">
        <v>4.2000000000000003E-2</v>
      </c>
    </row>
    <row r="33" spans="1:14" x14ac:dyDescent="0.35">
      <c r="A33" s="25" t="s">
        <v>97</v>
      </c>
      <c r="B33">
        <v>4</v>
      </c>
      <c r="C33" s="26">
        <f t="shared" si="1"/>
        <v>2.2222222222222223E-2</v>
      </c>
      <c r="D33" s="27">
        <v>2.1148036253776436E-2</v>
      </c>
      <c r="M33" s="35"/>
      <c r="N33" s="35"/>
    </row>
    <row r="34" spans="1:14" x14ac:dyDescent="0.35">
      <c r="A34" s="25" t="s">
        <v>280</v>
      </c>
      <c r="B34">
        <v>4</v>
      </c>
      <c r="C34" s="26">
        <f t="shared" si="1"/>
        <v>2.2222222222222223E-2</v>
      </c>
      <c r="D34" s="27">
        <v>1.812688821752266E-2</v>
      </c>
    </row>
    <row r="35" spans="1:14" x14ac:dyDescent="0.35">
      <c r="A35" s="25" t="s">
        <v>95</v>
      </c>
      <c r="B35">
        <v>3</v>
      </c>
      <c r="C35" s="26">
        <f t="shared" si="1"/>
        <v>1.6666666666666666E-2</v>
      </c>
      <c r="D35" s="27">
        <v>1.2084592145015106E-2</v>
      </c>
    </row>
    <row r="36" spans="1:14" x14ac:dyDescent="0.35">
      <c r="A36" s="25" t="s">
        <v>189</v>
      </c>
      <c r="B36">
        <v>2</v>
      </c>
      <c r="C36" s="26">
        <f t="shared" si="1"/>
        <v>1.1111111111111112E-2</v>
      </c>
      <c r="D36" s="27">
        <f>5/331</f>
        <v>1.5105740181268883E-2</v>
      </c>
    </row>
    <row r="37" spans="1:14" x14ac:dyDescent="0.35">
      <c r="A37" s="28" t="s">
        <v>190</v>
      </c>
      <c r="B37" s="29">
        <v>1</v>
      </c>
      <c r="C37" s="30">
        <f t="shared" si="1"/>
        <v>5.5555555555555558E-3</v>
      </c>
      <c r="D37" s="33">
        <f>3/331</f>
        <v>9.0634441087613302E-3</v>
      </c>
    </row>
    <row r="38" spans="1:14" x14ac:dyDescent="0.35">
      <c r="C38" s="20"/>
    </row>
    <row r="39" spans="1:14" ht="29" x14ac:dyDescent="0.35">
      <c r="A39" s="22" t="s">
        <v>83</v>
      </c>
      <c r="B39" s="23" t="s">
        <v>214</v>
      </c>
      <c r="C39" s="23" t="s">
        <v>215</v>
      </c>
      <c r="D39" s="24" t="s">
        <v>213</v>
      </c>
    </row>
    <row r="40" spans="1:14" x14ac:dyDescent="0.35">
      <c r="A40" s="25" t="s">
        <v>82</v>
      </c>
      <c r="B40">
        <v>80</v>
      </c>
      <c r="C40" s="31">
        <f t="shared" ref="C40:C57" si="2">B40/180</f>
        <v>0.44444444444444442</v>
      </c>
      <c r="D40" s="27">
        <v>0.47432024169184289</v>
      </c>
    </row>
    <row r="41" spans="1:14" x14ac:dyDescent="0.35">
      <c r="A41" s="25" t="s">
        <v>81</v>
      </c>
      <c r="B41">
        <v>64</v>
      </c>
      <c r="C41" s="31">
        <f t="shared" si="2"/>
        <v>0.35555555555555557</v>
      </c>
      <c r="D41" s="27">
        <v>0.41691842900302117</v>
      </c>
    </row>
    <row r="42" spans="1:14" x14ac:dyDescent="0.35">
      <c r="A42" s="25" t="s">
        <v>122</v>
      </c>
      <c r="B42">
        <v>50</v>
      </c>
      <c r="C42" s="31">
        <f t="shared" si="2"/>
        <v>0.27777777777777779</v>
      </c>
      <c r="D42" s="27">
        <v>0.30211480362537763</v>
      </c>
    </row>
    <row r="43" spans="1:14" x14ac:dyDescent="0.35">
      <c r="A43" s="25" t="s">
        <v>86</v>
      </c>
      <c r="B43">
        <v>38</v>
      </c>
      <c r="C43" s="31">
        <f t="shared" si="2"/>
        <v>0.21111111111111111</v>
      </c>
      <c r="D43" s="27">
        <v>0.2175226586102719</v>
      </c>
    </row>
    <row r="44" spans="1:14" x14ac:dyDescent="0.35">
      <c r="A44" s="25" t="s">
        <v>123</v>
      </c>
      <c r="B44">
        <v>35</v>
      </c>
      <c r="C44" s="31">
        <f t="shared" si="2"/>
        <v>0.19444444444444445</v>
      </c>
      <c r="D44" s="27">
        <v>0.17522658610271905</v>
      </c>
    </row>
    <row r="45" spans="1:14" x14ac:dyDescent="0.35">
      <c r="A45" s="25" t="s">
        <v>80</v>
      </c>
      <c r="B45">
        <v>32</v>
      </c>
      <c r="C45" s="31">
        <f t="shared" si="2"/>
        <v>0.17777777777777778</v>
      </c>
      <c r="D45" s="27">
        <v>0.24471299093655588</v>
      </c>
    </row>
    <row r="46" spans="1:14" x14ac:dyDescent="0.35">
      <c r="A46" s="25" t="s">
        <v>124</v>
      </c>
      <c r="B46">
        <v>25</v>
      </c>
      <c r="C46" s="31">
        <f t="shared" si="2"/>
        <v>0.1388888888888889</v>
      </c>
      <c r="D46" s="27">
        <v>0.14803625377643503</v>
      </c>
    </row>
    <row r="47" spans="1:14" x14ac:dyDescent="0.35">
      <c r="A47" s="25" t="s">
        <v>79</v>
      </c>
      <c r="B47">
        <v>23</v>
      </c>
      <c r="C47" s="31">
        <f t="shared" si="2"/>
        <v>0.12777777777777777</v>
      </c>
      <c r="D47" s="27">
        <v>0.15709969788519637</v>
      </c>
    </row>
    <row r="48" spans="1:14" x14ac:dyDescent="0.35">
      <c r="A48" s="25" t="s">
        <v>125</v>
      </c>
      <c r="B48">
        <v>14</v>
      </c>
      <c r="C48" s="31">
        <f t="shared" si="2"/>
        <v>7.7777777777777779E-2</v>
      </c>
      <c r="D48" s="27">
        <v>8.1570996978851965E-2</v>
      </c>
    </row>
    <row r="49" spans="1:4" x14ac:dyDescent="0.35">
      <c r="A49" s="25" t="s">
        <v>77</v>
      </c>
      <c r="B49">
        <v>13</v>
      </c>
      <c r="C49" s="31">
        <f t="shared" si="2"/>
        <v>7.2222222222222215E-2</v>
      </c>
      <c r="D49" s="27">
        <v>7.5528700906344406E-2</v>
      </c>
    </row>
    <row r="50" spans="1:4" x14ac:dyDescent="0.35">
      <c r="A50" s="25" t="s">
        <v>126</v>
      </c>
      <c r="B50">
        <v>9</v>
      </c>
      <c r="C50" s="31">
        <f t="shared" si="2"/>
        <v>0.05</v>
      </c>
      <c r="D50" s="27">
        <v>6.6465256797583083E-2</v>
      </c>
    </row>
    <row r="51" spans="1:4" x14ac:dyDescent="0.35">
      <c r="A51" s="25" t="s">
        <v>78</v>
      </c>
      <c r="B51">
        <v>8</v>
      </c>
      <c r="C51" s="31">
        <f t="shared" si="2"/>
        <v>4.4444444444444446E-2</v>
      </c>
      <c r="D51" s="27">
        <v>8.4592145015105744E-2</v>
      </c>
    </row>
    <row r="52" spans="1:4" x14ac:dyDescent="0.35">
      <c r="A52" s="25" t="s">
        <v>127</v>
      </c>
      <c r="B52">
        <v>6</v>
      </c>
      <c r="C52" s="31">
        <f t="shared" si="2"/>
        <v>3.3333333333333333E-2</v>
      </c>
      <c r="D52" s="27">
        <v>3.0211480362537766E-2</v>
      </c>
    </row>
    <row r="53" spans="1:4" x14ac:dyDescent="0.35">
      <c r="A53" s="25" t="s">
        <v>128</v>
      </c>
      <c r="B53">
        <v>3</v>
      </c>
      <c r="C53" s="31">
        <f t="shared" si="2"/>
        <v>1.6666666666666666E-2</v>
      </c>
      <c r="D53" s="27">
        <v>1.2084592145015106E-2</v>
      </c>
    </row>
    <row r="54" spans="1:4" x14ac:dyDescent="0.35">
      <c r="A54" s="25" t="s">
        <v>75</v>
      </c>
      <c r="B54">
        <v>2</v>
      </c>
      <c r="C54" s="31">
        <f t="shared" si="2"/>
        <v>1.1111111111111112E-2</v>
      </c>
      <c r="D54" s="27">
        <f>2/331</f>
        <v>6.0422960725075529E-3</v>
      </c>
    </row>
    <row r="55" spans="1:4" x14ac:dyDescent="0.35">
      <c r="A55" s="25" t="s">
        <v>76</v>
      </c>
      <c r="B55">
        <v>2</v>
      </c>
      <c r="C55" s="31">
        <f t="shared" si="2"/>
        <v>1.1111111111111112E-2</v>
      </c>
      <c r="D55" s="27">
        <f>3/331</f>
        <v>9.0634441087613302E-3</v>
      </c>
    </row>
    <row r="56" spans="1:4" x14ac:dyDescent="0.35">
      <c r="A56" s="25" t="s">
        <v>73</v>
      </c>
      <c r="B56">
        <v>1</v>
      </c>
      <c r="C56" s="31">
        <f t="shared" si="2"/>
        <v>5.5555555555555558E-3</v>
      </c>
      <c r="D56" s="27">
        <f>2/331</f>
        <v>6.0422960725075529E-3</v>
      </c>
    </row>
    <row r="57" spans="1:4" x14ac:dyDescent="0.35">
      <c r="A57" s="28" t="s">
        <v>74</v>
      </c>
      <c r="B57" s="29">
        <v>0</v>
      </c>
      <c r="C57" s="32">
        <f t="shared" si="2"/>
        <v>0</v>
      </c>
      <c r="D57" s="33">
        <v>6.0422960725075529E-3</v>
      </c>
    </row>
    <row r="59" spans="1:4" ht="29" x14ac:dyDescent="0.35">
      <c r="A59" s="34" t="s">
        <v>115</v>
      </c>
      <c r="B59" s="23" t="s">
        <v>214</v>
      </c>
      <c r="C59" s="23" t="s">
        <v>215</v>
      </c>
      <c r="D59" s="24" t="s">
        <v>213</v>
      </c>
    </row>
    <row r="60" spans="1:4" x14ac:dyDescent="0.35">
      <c r="A60" s="25" t="s">
        <v>116</v>
      </c>
      <c r="B60">
        <v>10</v>
      </c>
      <c r="C60" s="31">
        <f>B60/180</f>
        <v>5.5555555555555552E-2</v>
      </c>
      <c r="D60" s="27">
        <v>8.1081081081081086E-2</v>
      </c>
    </row>
    <row r="61" spans="1:4" x14ac:dyDescent="0.35">
      <c r="A61" s="25" t="s">
        <v>117</v>
      </c>
      <c r="B61">
        <v>9</v>
      </c>
      <c r="C61" s="31">
        <f>B61/180</f>
        <v>0.05</v>
      </c>
      <c r="D61" s="27">
        <v>9.0090090090090086E-2</v>
      </c>
    </row>
    <row r="62" spans="1:4" x14ac:dyDescent="0.35">
      <c r="A62" s="25" t="s">
        <v>118</v>
      </c>
      <c r="B62">
        <v>71</v>
      </c>
      <c r="C62" s="31">
        <f>B62/180</f>
        <v>0.39444444444444443</v>
      </c>
      <c r="D62" s="27">
        <v>0.38438438438438438</v>
      </c>
    </row>
    <row r="63" spans="1:4" x14ac:dyDescent="0.35">
      <c r="A63" s="28" t="s">
        <v>119</v>
      </c>
      <c r="B63" s="29">
        <v>90</v>
      </c>
      <c r="C63" s="32">
        <f>B63/180</f>
        <v>0.5</v>
      </c>
      <c r="D63" s="33">
        <v>0.44144144144144143</v>
      </c>
    </row>
    <row r="64" spans="1:4" x14ac:dyDescent="0.35">
      <c r="A64" s="25"/>
      <c r="C64" s="31"/>
      <c r="D64" s="27"/>
    </row>
    <row r="65" spans="1:4" ht="43.5" x14ac:dyDescent="0.35">
      <c r="A65" s="34" t="s">
        <v>145</v>
      </c>
      <c r="B65" s="23" t="s">
        <v>214</v>
      </c>
      <c r="C65" s="23" t="s">
        <v>215</v>
      </c>
      <c r="D65" s="24" t="s">
        <v>213</v>
      </c>
    </row>
    <row r="66" spans="1:4" x14ac:dyDescent="0.35">
      <c r="A66" s="25" t="s">
        <v>143</v>
      </c>
      <c r="B66">
        <v>39</v>
      </c>
      <c r="C66" s="31">
        <f>B66/180</f>
        <v>0.21666666666666667</v>
      </c>
      <c r="D66" s="27">
        <v>0.26586102719033233</v>
      </c>
    </row>
    <row r="67" spans="1:4" x14ac:dyDescent="0.35">
      <c r="A67" s="28" t="s">
        <v>144</v>
      </c>
      <c r="B67" s="29">
        <v>141</v>
      </c>
      <c r="C67" s="32">
        <f>B67/180</f>
        <v>0.78333333333333333</v>
      </c>
      <c r="D67" s="33">
        <v>0.73413897280966767</v>
      </c>
    </row>
    <row r="69" spans="1:4" ht="29" x14ac:dyDescent="0.35">
      <c r="A69" s="34" t="s">
        <v>105</v>
      </c>
      <c r="B69" s="23" t="s">
        <v>214</v>
      </c>
      <c r="C69" s="23" t="s">
        <v>215</v>
      </c>
      <c r="D69" s="24" t="s">
        <v>213</v>
      </c>
    </row>
    <row r="70" spans="1:4" x14ac:dyDescent="0.35">
      <c r="A70" s="25" t="s">
        <v>107</v>
      </c>
      <c r="B70">
        <v>12</v>
      </c>
      <c r="C70" s="31">
        <f t="shared" ref="C70:C77" si="3">B70/180</f>
        <v>6.6666666666666666E-2</v>
      </c>
      <c r="D70" s="27">
        <v>6.3444108761329304E-2</v>
      </c>
    </row>
    <row r="71" spans="1:4" x14ac:dyDescent="0.35">
      <c r="A71" s="25" t="s">
        <v>108</v>
      </c>
      <c r="B71">
        <v>3</v>
      </c>
      <c r="C71" s="31">
        <f t="shared" si="3"/>
        <v>1.6666666666666666E-2</v>
      </c>
      <c r="D71" s="27">
        <v>3.3232628398791542E-2</v>
      </c>
    </row>
    <row r="72" spans="1:4" x14ac:dyDescent="0.35">
      <c r="A72" s="25" t="s">
        <v>109</v>
      </c>
      <c r="B72">
        <v>7</v>
      </c>
      <c r="C72" s="31">
        <f t="shared" si="3"/>
        <v>3.888888888888889E-2</v>
      </c>
      <c r="D72" s="27">
        <v>3.9274924471299093E-2</v>
      </c>
    </row>
    <row r="73" spans="1:4" x14ac:dyDescent="0.35">
      <c r="A73" s="25" t="s">
        <v>110</v>
      </c>
      <c r="B73">
        <v>23</v>
      </c>
      <c r="C73" s="31">
        <f t="shared" si="3"/>
        <v>0.12777777777777777</v>
      </c>
      <c r="D73" s="27">
        <v>0.11480362537764351</v>
      </c>
    </row>
    <row r="74" spans="1:4" x14ac:dyDescent="0.35">
      <c r="A74" s="25" t="s">
        <v>111</v>
      </c>
      <c r="B74">
        <v>34</v>
      </c>
      <c r="C74" s="31">
        <f t="shared" si="3"/>
        <v>0.18888888888888888</v>
      </c>
      <c r="D74" s="27">
        <v>0.18731117824773413</v>
      </c>
    </row>
    <row r="75" spans="1:4" x14ac:dyDescent="0.35">
      <c r="A75" s="25" t="s">
        <v>112</v>
      </c>
      <c r="B75">
        <v>19</v>
      </c>
      <c r="C75" s="31">
        <f t="shared" si="3"/>
        <v>0.10555555555555556</v>
      </c>
      <c r="D75" s="27">
        <v>0.10574018126888217</v>
      </c>
    </row>
    <row r="76" spans="1:4" x14ac:dyDescent="0.35">
      <c r="A76" s="25" t="s">
        <v>113</v>
      </c>
      <c r="B76">
        <v>71</v>
      </c>
      <c r="C76" s="31">
        <f t="shared" si="3"/>
        <v>0.39444444444444443</v>
      </c>
      <c r="D76" s="27">
        <v>0.39577039274924469</v>
      </c>
    </row>
    <row r="77" spans="1:4" x14ac:dyDescent="0.35">
      <c r="A77" s="28" t="s">
        <v>114</v>
      </c>
      <c r="B77" s="29">
        <v>11</v>
      </c>
      <c r="C77" s="32">
        <f t="shared" si="3"/>
        <v>6.1111111111111109E-2</v>
      </c>
      <c r="D77" s="33">
        <v>6.0422960725075532E-2</v>
      </c>
    </row>
    <row r="79" spans="1:4" ht="29" x14ac:dyDescent="0.35">
      <c r="A79" s="34" t="s">
        <v>154</v>
      </c>
      <c r="B79" s="23" t="s">
        <v>214</v>
      </c>
      <c r="C79" s="23" t="s">
        <v>215</v>
      </c>
      <c r="D79" s="24" t="s">
        <v>213</v>
      </c>
    </row>
    <row r="80" spans="1:4" x14ac:dyDescent="0.35">
      <c r="A80" s="25" t="s">
        <v>155</v>
      </c>
      <c r="B80">
        <v>116</v>
      </c>
      <c r="C80" s="31">
        <f t="shared" ref="C80:C87" si="4">B80/180</f>
        <v>0.64444444444444449</v>
      </c>
      <c r="D80" s="27">
        <v>0.66767371601208458</v>
      </c>
    </row>
    <row r="81" spans="1:4" x14ac:dyDescent="0.35">
      <c r="A81" s="25" t="s">
        <v>156</v>
      </c>
      <c r="B81">
        <v>42</v>
      </c>
      <c r="C81" s="31">
        <f t="shared" si="4"/>
        <v>0.23333333333333334</v>
      </c>
      <c r="D81" s="27">
        <v>0.25377643504531722</v>
      </c>
    </row>
    <row r="82" spans="1:4" x14ac:dyDescent="0.35">
      <c r="A82" s="25" t="s">
        <v>157</v>
      </c>
      <c r="B82">
        <v>24</v>
      </c>
      <c r="C82" s="31">
        <f t="shared" si="4"/>
        <v>0.13333333333333333</v>
      </c>
      <c r="D82" s="27">
        <v>0.15105740181268881</v>
      </c>
    </row>
    <row r="83" spans="1:4" x14ac:dyDescent="0.35">
      <c r="A83" s="25" t="s">
        <v>159</v>
      </c>
      <c r="B83">
        <v>22</v>
      </c>
      <c r="C83" s="31">
        <f t="shared" si="4"/>
        <v>0.12222222222222222</v>
      </c>
      <c r="D83" s="27">
        <v>0.12688821752265861</v>
      </c>
    </row>
    <row r="84" spans="1:4" x14ac:dyDescent="0.35">
      <c r="A84" s="25" t="s">
        <v>161</v>
      </c>
      <c r="B84">
        <v>20</v>
      </c>
      <c r="C84" s="31">
        <f t="shared" si="4"/>
        <v>0.1111111111111111</v>
      </c>
      <c r="D84" s="27">
        <v>7.8549848942598186E-2</v>
      </c>
    </row>
    <row r="85" spans="1:4" x14ac:dyDescent="0.35">
      <c r="A85" s="25" t="s">
        <v>158</v>
      </c>
      <c r="B85">
        <v>17</v>
      </c>
      <c r="C85" s="31">
        <f t="shared" si="4"/>
        <v>9.4444444444444442E-2</v>
      </c>
      <c r="D85" s="27">
        <v>0.14501510574018128</v>
      </c>
    </row>
    <row r="86" spans="1:4" x14ac:dyDescent="0.35">
      <c r="A86" s="25" t="s">
        <v>160</v>
      </c>
      <c r="B86">
        <v>17</v>
      </c>
      <c r="C86" s="31">
        <f t="shared" si="4"/>
        <v>9.4444444444444442E-2</v>
      </c>
      <c r="D86" s="27">
        <v>0.10574018126888217</v>
      </c>
    </row>
    <row r="87" spans="1:4" x14ac:dyDescent="0.35">
      <c r="A87" s="28" t="s">
        <v>162</v>
      </c>
      <c r="B87" s="29">
        <v>2</v>
      </c>
      <c r="C87" s="32">
        <f t="shared" si="4"/>
        <v>1.1111111111111112E-2</v>
      </c>
      <c r="D87" s="33">
        <v>1.2084592145015106E-2</v>
      </c>
    </row>
    <row r="89" spans="1:4" ht="43.5" x14ac:dyDescent="0.35">
      <c r="A89" s="34" t="s">
        <v>146</v>
      </c>
      <c r="B89" s="23" t="s">
        <v>214</v>
      </c>
      <c r="C89" s="23" t="s">
        <v>215</v>
      </c>
      <c r="D89" s="24" t="s">
        <v>213</v>
      </c>
    </row>
    <row r="90" spans="1:4" x14ac:dyDescent="0.35">
      <c r="A90" s="25" t="s">
        <v>147</v>
      </c>
      <c r="B90">
        <v>154</v>
      </c>
      <c r="C90" s="31">
        <f>B90/180</f>
        <v>0.85555555555555551</v>
      </c>
      <c r="D90" s="27">
        <v>0.83383685800604235</v>
      </c>
    </row>
    <row r="91" spans="1:4" x14ac:dyDescent="0.35">
      <c r="A91" s="25" t="s">
        <v>148</v>
      </c>
      <c r="B91">
        <v>78</v>
      </c>
      <c r="C91" s="31">
        <f>B91/180</f>
        <v>0.43333333333333335</v>
      </c>
      <c r="D91" s="27">
        <v>0.38368580060422963</v>
      </c>
    </row>
    <row r="92" spans="1:4" x14ac:dyDescent="0.35">
      <c r="A92" s="28" t="s">
        <v>89</v>
      </c>
      <c r="B92" s="29">
        <v>19</v>
      </c>
      <c r="C92" s="32">
        <f>B92/180</f>
        <v>0.10555555555555556</v>
      </c>
      <c r="D92" s="33">
        <v>0.12084592145015106</v>
      </c>
    </row>
    <row r="94" spans="1:4" ht="87" x14ac:dyDescent="0.35">
      <c r="A94" s="34" t="s">
        <v>149</v>
      </c>
      <c r="B94" s="23" t="s">
        <v>214</v>
      </c>
      <c r="C94" s="23" t="s">
        <v>215</v>
      </c>
      <c r="D94" s="24" t="s">
        <v>213</v>
      </c>
    </row>
    <row r="95" spans="1:4" x14ac:dyDescent="0.35">
      <c r="A95" s="25" t="s">
        <v>150</v>
      </c>
      <c r="B95">
        <v>80</v>
      </c>
      <c r="C95" s="31">
        <f>B95/180</f>
        <v>0.44444444444444442</v>
      </c>
      <c r="D95" s="27">
        <v>0.45015105740181272</v>
      </c>
    </row>
    <row r="96" spans="1:4" x14ac:dyDescent="0.35">
      <c r="A96" s="25" t="s">
        <v>152</v>
      </c>
      <c r="B96">
        <v>100</v>
      </c>
      <c r="C96" s="31">
        <f>B96/180</f>
        <v>0.55555555555555558</v>
      </c>
      <c r="D96" s="27">
        <v>0.52567975830815705</v>
      </c>
    </row>
    <row r="97" spans="1:4" x14ac:dyDescent="0.35">
      <c r="A97" s="25" t="s">
        <v>151</v>
      </c>
      <c r="B97">
        <v>97</v>
      </c>
      <c r="C97" s="31">
        <f>B97/180</f>
        <v>0.53888888888888886</v>
      </c>
      <c r="D97" s="27">
        <v>0.58308157099697888</v>
      </c>
    </row>
    <row r="98" spans="1:4" x14ac:dyDescent="0.35">
      <c r="A98" s="28" t="s">
        <v>153</v>
      </c>
      <c r="B98" s="29">
        <v>82</v>
      </c>
      <c r="C98" s="32">
        <f>B98/180</f>
        <v>0.45555555555555555</v>
      </c>
      <c r="D98" s="33">
        <v>0.38368580060422963</v>
      </c>
    </row>
    <row r="100" spans="1:4" ht="43.5" x14ac:dyDescent="0.35">
      <c r="A100" s="34" t="s">
        <v>163</v>
      </c>
      <c r="B100" s="23" t="s">
        <v>214</v>
      </c>
      <c r="C100" s="23" t="s">
        <v>215</v>
      </c>
      <c r="D100" s="24" t="s">
        <v>213</v>
      </c>
    </row>
    <row r="101" spans="1:4" x14ac:dyDescent="0.35">
      <c r="A101" s="25" t="s">
        <v>164</v>
      </c>
      <c r="B101">
        <v>70</v>
      </c>
      <c r="C101" s="31">
        <f t="shared" ref="C101:C114" si="5">B101/180</f>
        <v>0.3888888888888889</v>
      </c>
      <c r="D101" s="27">
        <v>0.39274924471299094</v>
      </c>
    </row>
    <row r="102" spans="1:4" x14ac:dyDescent="0.35">
      <c r="A102" s="25" t="s">
        <v>165</v>
      </c>
      <c r="B102">
        <v>70</v>
      </c>
      <c r="C102" s="31">
        <f t="shared" si="5"/>
        <v>0.3888888888888889</v>
      </c>
      <c r="D102" s="27">
        <v>0.38670694864048338</v>
      </c>
    </row>
    <row r="103" spans="1:4" x14ac:dyDescent="0.35">
      <c r="A103" s="25" t="s">
        <v>166</v>
      </c>
      <c r="B103">
        <v>44</v>
      </c>
      <c r="C103" s="31">
        <f t="shared" si="5"/>
        <v>0.24444444444444444</v>
      </c>
      <c r="D103" s="27">
        <v>0.23262839879154079</v>
      </c>
    </row>
    <row r="104" spans="1:4" x14ac:dyDescent="0.35">
      <c r="A104" s="25" t="s">
        <v>167</v>
      </c>
      <c r="B104">
        <v>40</v>
      </c>
      <c r="C104" s="31">
        <f t="shared" si="5"/>
        <v>0.22222222222222221</v>
      </c>
      <c r="D104" s="27">
        <v>0.22658610271903323</v>
      </c>
    </row>
    <row r="105" spans="1:4" x14ac:dyDescent="0.35">
      <c r="A105" s="25" t="s">
        <v>168</v>
      </c>
      <c r="B105">
        <v>39</v>
      </c>
      <c r="C105" s="31">
        <f t="shared" si="5"/>
        <v>0.21666666666666667</v>
      </c>
      <c r="D105" s="27">
        <v>0.2175226586102719</v>
      </c>
    </row>
    <row r="106" spans="1:4" x14ac:dyDescent="0.35">
      <c r="A106" s="25" t="s">
        <v>169</v>
      </c>
      <c r="B106">
        <v>36</v>
      </c>
      <c r="C106" s="31">
        <f t="shared" si="5"/>
        <v>0.2</v>
      </c>
      <c r="D106" s="27">
        <v>0.19637462235649547</v>
      </c>
    </row>
    <row r="107" spans="1:4" x14ac:dyDescent="0.35">
      <c r="A107" s="25" t="s">
        <v>170</v>
      </c>
      <c r="B107">
        <v>28</v>
      </c>
      <c r="C107" s="31">
        <f t="shared" si="5"/>
        <v>0.15555555555555556</v>
      </c>
      <c r="D107" s="27">
        <v>0.16314199395770393</v>
      </c>
    </row>
    <row r="108" spans="1:4" x14ac:dyDescent="0.35">
      <c r="A108" s="25" t="s">
        <v>171</v>
      </c>
      <c r="B108">
        <v>28</v>
      </c>
      <c r="C108" s="31">
        <f t="shared" si="5"/>
        <v>0.15555555555555556</v>
      </c>
      <c r="D108" s="27">
        <v>0.15105740181268881</v>
      </c>
    </row>
    <row r="109" spans="1:4" x14ac:dyDescent="0.35">
      <c r="A109" s="25" t="s">
        <v>172</v>
      </c>
      <c r="B109">
        <v>15</v>
      </c>
      <c r="C109" s="31">
        <f t="shared" si="5"/>
        <v>8.3333333333333329E-2</v>
      </c>
      <c r="D109" s="27">
        <v>5.7401812688821753E-2</v>
      </c>
    </row>
    <row r="110" spans="1:4" x14ac:dyDescent="0.35">
      <c r="A110" s="25" t="s">
        <v>173</v>
      </c>
      <c r="B110">
        <v>10</v>
      </c>
      <c r="C110" s="31">
        <f t="shared" si="5"/>
        <v>5.5555555555555552E-2</v>
      </c>
      <c r="D110" s="27">
        <v>5.1359516616314202E-2</v>
      </c>
    </row>
    <row r="111" spans="1:4" x14ac:dyDescent="0.35">
      <c r="A111" s="25" t="s">
        <v>174</v>
      </c>
      <c r="B111">
        <v>5</v>
      </c>
      <c r="C111" s="31">
        <f t="shared" si="5"/>
        <v>2.7777777777777776E-2</v>
      </c>
      <c r="D111" s="27">
        <v>2.4169184290030211E-2</v>
      </c>
    </row>
    <row r="112" spans="1:4" x14ac:dyDescent="0.35">
      <c r="A112" s="25" t="s">
        <v>175</v>
      </c>
      <c r="B112">
        <v>2</v>
      </c>
      <c r="C112" s="31">
        <f t="shared" si="5"/>
        <v>1.1111111111111112E-2</v>
      </c>
      <c r="D112" s="27">
        <v>1.812688821752266E-2</v>
      </c>
    </row>
    <row r="113" spans="1:4" x14ac:dyDescent="0.35">
      <c r="A113" s="25" t="s">
        <v>177</v>
      </c>
      <c r="B113">
        <v>2</v>
      </c>
      <c r="C113" s="31">
        <f t="shared" si="5"/>
        <v>1.1111111111111112E-2</v>
      </c>
      <c r="D113" s="27">
        <v>6.0422960725075529E-3</v>
      </c>
    </row>
    <row r="114" spans="1:4" x14ac:dyDescent="0.35">
      <c r="A114" s="28" t="s">
        <v>176</v>
      </c>
      <c r="B114" s="29">
        <v>1</v>
      </c>
      <c r="C114" s="32">
        <f t="shared" si="5"/>
        <v>5.5555555555555558E-3</v>
      </c>
      <c r="D114" s="33">
        <v>9.0634441087613302E-3</v>
      </c>
    </row>
    <row r="116" spans="1:4" ht="29" x14ac:dyDescent="0.35">
      <c r="A116" s="34" t="s">
        <v>94</v>
      </c>
      <c r="B116" s="23" t="s">
        <v>214</v>
      </c>
      <c r="C116" s="23" t="s">
        <v>215</v>
      </c>
      <c r="D116" s="24" t="s">
        <v>213</v>
      </c>
    </row>
    <row r="117" spans="1:4" x14ac:dyDescent="0.35">
      <c r="A117" s="25" t="s">
        <v>87</v>
      </c>
      <c r="B117">
        <v>15</v>
      </c>
      <c r="C117" s="31">
        <f>B117/180</f>
        <v>8.3333333333333329E-2</v>
      </c>
      <c r="D117" s="27">
        <v>0.12386706948640483</v>
      </c>
    </row>
    <row r="118" spans="1:4" x14ac:dyDescent="0.35">
      <c r="A118" s="25" t="s">
        <v>88</v>
      </c>
      <c r="B118">
        <v>50</v>
      </c>
      <c r="C118" s="31">
        <f>B118/180</f>
        <v>0.27777777777777779</v>
      </c>
      <c r="D118" s="27">
        <v>0.25679758308157102</v>
      </c>
    </row>
    <row r="119" spans="1:4" x14ac:dyDescent="0.35">
      <c r="A119" s="25" t="s">
        <v>89</v>
      </c>
      <c r="B119">
        <v>50</v>
      </c>
      <c r="C119" s="31">
        <f>B119/180</f>
        <v>0.27777777777777779</v>
      </c>
      <c r="D119" s="27">
        <v>0.2809667673716012</v>
      </c>
    </row>
    <row r="120" spans="1:4" x14ac:dyDescent="0.35">
      <c r="A120" s="28" t="s">
        <v>90</v>
      </c>
      <c r="B120" s="29">
        <v>50</v>
      </c>
      <c r="C120" s="32">
        <f>B120/180</f>
        <v>0.27777777777777779</v>
      </c>
      <c r="D120" s="33">
        <v>0.30513595166163143</v>
      </c>
    </row>
  </sheetData>
  <sheetProtection algorithmName="SHA-512" hashValue="3eb96F8pee5oY9vcMyOFycikFxWuxLbnb9iwahl2y7rZky1jPnWekA9wD+O7gF8REi+EyLSNLX/kOEQlegUIog==" saltValue="SVNrNHUpeyM2yI5LzmNRMA==" spinCount="100000" sheet="1" objects="1" scenarios="1"/>
  <sortState xmlns:xlrd2="http://schemas.microsoft.com/office/spreadsheetml/2017/richdata2" ref="A40:D57">
    <sortCondition descending="1" ref="B40:B57"/>
  </sortState>
  <conditionalFormatting sqref="C15:D37">
    <cfRule type="colorScale" priority="25">
      <colorScale>
        <cfvo type="min"/>
        <cfvo type="percentile" val="50"/>
        <cfvo type="max"/>
        <color rgb="FFF8696B"/>
        <color rgb="FFFFEB84"/>
        <color rgb="FF63BE7B"/>
      </colorScale>
    </cfRule>
  </conditionalFormatting>
  <conditionalFormatting sqref="C40:D57">
    <cfRule type="colorScale" priority="24">
      <colorScale>
        <cfvo type="min"/>
        <cfvo type="percentile" val="50"/>
        <cfvo type="max"/>
        <color rgb="FFF8696B"/>
        <color rgb="FFFFEB84"/>
        <color rgb="FF63BE7B"/>
      </colorScale>
    </cfRule>
  </conditionalFormatting>
  <conditionalFormatting sqref="C60:D64">
    <cfRule type="colorScale" priority="23">
      <colorScale>
        <cfvo type="min"/>
        <cfvo type="percentile" val="50"/>
        <cfvo type="max"/>
        <color rgb="FFF8696B"/>
        <color rgb="FFFFEB84"/>
        <color rgb="FF63BE7B"/>
      </colorScale>
    </cfRule>
  </conditionalFormatting>
  <conditionalFormatting sqref="C66:D67">
    <cfRule type="colorScale" priority="3">
      <colorScale>
        <cfvo type="min"/>
        <cfvo type="percentile" val="50"/>
        <cfvo type="max"/>
        <color rgb="FFF8696B"/>
        <color rgb="FFFFEB84"/>
        <color rgb="FF63BE7B"/>
      </colorScale>
    </cfRule>
  </conditionalFormatting>
  <conditionalFormatting sqref="C70:D77">
    <cfRule type="colorScale" priority="18">
      <colorScale>
        <cfvo type="min"/>
        <cfvo type="percentile" val="50"/>
        <cfvo type="max"/>
        <color rgb="FFF8696B"/>
        <color rgb="FFFFEB84"/>
        <color rgb="FF63BE7B"/>
      </colorScale>
    </cfRule>
  </conditionalFormatting>
  <conditionalFormatting sqref="C80:D87">
    <cfRule type="colorScale" priority="21">
      <colorScale>
        <cfvo type="min"/>
        <cfvo type="percentile" val="50"/>
        <cfvo type="max"/>
        <color rgb="FFF8696B"/>
        <color rgb="FFFFEB84"/>
        <color rgb="FF63BE7B"/>
      </colorScale>
    </cfRule>
  </conditionalFormatting>
  <conditionalFormatting sqref="C90:D92">
    <cfRule type="colorScale" priority="22">
      <colorScale>
        <cfvo type="min"/>
        <cfvo type="percentile" val="50"/>
        <cfvo type="max"/>
        <color rgb="FFF8696B"/>
        <color rgb="FFFFEB84"/>
        <color rgb="FF63BE7B"/>
      </colorScale>
    </cfRule>
  </conditionalFormatting>
  <conditionalFormatting sqref="C95:D98">
    <cfRule type="colorScale" priority="2">
      <colorScale>
        <cfvo type="min"/>
        <cfvo type="percentile" val="50"/>
        <cfvo type="max"/>
        <color rgb="FFF8696B"/>
        <color rgb="FFFFEB84"/>
        <color rgb="FF63BE7B"/>
      </colorScale>
    </cfRule>
  </conditionalFormatting>
  <conditionalFormatting sqref="C101:D114">
    <cfRule type="colorScale" priority="19">
      <colorScale>
        <cfvo type="min"/>
        <cfvo type="percentile" val="50"/>
        <cfvo type="max"/>
        <color rgb="FFF8696B"/>
        <color rgb="FFFFEB84"/>
        <color rgb="FF63BE7B"/>
      </colorScale>
    </cfRule>
  </conditionalFormatting>
  <conditionalFormatting sqref="C117:D120">
    <cfRule type="colorScale" priority="1">
      <colorScale>
        <cfvo type="min"/>
        <cfvo type="percentile" val="50"/>
        <cfvo type="max"/>
        <color rgb="FFF8696B"/>
        <color rgb="FFFFEB84"/>
        <color rgb="FF63BE7B"/>
      </colorScale>
    </cfRule>
  </conditionalFormatting>
  <hyperlinks>
    <hyperlink ref="A1" location="Contents!A1" display="Back to contents page" xr:uid="{C040012E-7D09-4D50-A94D-49CF9E42916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3F05-8651-4BB9-82C5-DDD9776A4E6D}">
  <dimension ref="A1:N120"/>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 min="6" max="9" width="8.7265625" customWidth="1"/>
    <col min="11" max="14" width="8.7265625" customWidth="1"/>
  </cols>
  <sheetData>
    <row r="1" spans="1:4" x14ac:dyDescent="0.35">
      <c r="A1" s="7" t="s">
        <v>18</v>
      </c>
    </row>
    <row r="2" spans="1:4" ht="15.5" x14ac:dyDescent="0.35">
      <c r="A2" s="50" t="s">
        <v>266</v>
      </c>
    </row>
    <row r="3" spans="1:4" x14ac:dyDescent="0.35">
      <c r="A3" s="53" t="s">
        <v>370</v>
      </c>
    </row>
    <row r="5" spans="1:4" x14ac:dyDescent="0.35">
      <c r="A5" s="22" t="s">
        <v>19</v>
      </c>
      <c r="B5" s="23" t="s">
        <v>20</v>
      </c>
      <c r="C5" s="24" t="s">
        <v>21</v>
      </c>
    </row>
    <row r="6" spans="1:4" x14ac:dyDescent="0.35">
      <c r="A6" s="25" t="s">
        <v>22</v>
      </c>
      <c r="B6">
        <v>4</v>
      </c>
      <c r="C6" s="27">
        <f>B6/331</f>
        <v>1.2084592145015106E-2</v>
      </c>
    </row>
    <row r="7" spans="1:4" x14ac:dyDescent="0.35">
      <c r="A7" s="25" t="s">
        <v>23</v>
      </c>
      <c r="B7">
        <v>37</v>
      </c>
      <c r="C7" s="27">
        <f t="shared" ref="C7:C11" si="0">B7/331</f>
        <v>0.11178247734138973</v>
      </c>
    </row>
    <row r="8" spans="1:4" x14ac:dyDescent="0.35">
      <c r="A8" s="25" t="s">
        <v>239</v>
      </c>
      <c r="B8">
        <v>180</v>
      </c>
      <c r="C8" s="27">
        <f t="shared" si="0"/>
        <v>0.54380664652567978</v>
      </c>
    </row>
    <row r="9" spans="1:4" x14ac:dyDescent="0.35">
      <c r="A9" s="45" t="s">
        <v>25</v>
      </c>
      <c r="B9" s="46">
        <v>86</v>
      </c>
      <c r="C9" s="47">
        <f t="shared" si="0"/>
        <v>0.25981873111782477</v>
      </c>
    </row>
    <row r="10" spans="1:4" x14ac:dyDescent="0.35">
      <c r="A10" s="25" t="s">
        <v>26</v>
      </c>
      <c r="B10">
        <v>21</v>
      </c>
      <c r="C10" s="27">
        <f t="shared" si="0"/>
        <v>6.3444108761329304E-2</v>
      </c>
    </row>
    <row r="11" spans="1:4" x14ac:dyDescent="0.35">
      <c r="A11" s="28" t="s">
        <v>27</v>
      </c>
      <c r="B11" s="29">
        <v>3</v>
      </c>
      <c r="C11" s="33">
        <f t="shared" si="0"/>
        <v>9.0634441087613302E-3</v>
      </c>
    </row>
    <row r="14" spans="1:4" ht="29" x14ac:dyDescent="0.35">
      <c r="A14" s="22" t="s">
        <v>31</v>
      </c>
      <c r="B14" s="23" t="s">
        <v>217</v>
      </c>
      <c r="C14" s="23" t="s">
        <v>218</v>
      </c>
      <c r="D14" s="24" t="s">
        <v>213</v>
      </c>
    </row>
    <row r="15" spans="1:4" x14ac:dyDescent="0.35">
      <c r="A15" s="25" t="s">
        <v>34</v>
      </c>
      <c r="B15" s="49">
        <v>43</v>
      </c>
      <c r="C15" s="104">
        <f t="shared" ref="C15:C37" si="1">B15/86</f>
        <v>0.5</v>
      </c>
      <c r="D15" s="100">
        <v>0.45317220543806647</v>
      </c>
    </row>
    <row r="16" spans="1:4" x14ac:dyDescent="0.35">
      <c r="A16" s="25" t="s">
        <v>35</v>
      </c>
      <c r="B16" s="49">
        <v>39</v>
      </c>
      <c r="C16" s="104">
        <f t="shared" si="1"/>
        <v>0.45348837209302323</v>
      </c>
      <c r="D16" s="100">
        <v>0.39274924471299094</v>
      </c>
    </row>
    <row r="17" spans="1:4" x14ac:dyDescent="0.35">
      <c r="A17" s="25" t="s">
        <v>36</v>
      </c>
      <c r="B17" s="49">
        <v>30</v>
      </c>
      <c r="C17" s="104">
        <f t="shared" si="1"/>
        <v>0.34883720930232559</v>
      </c>
      <c r="D17" s="100">
        <v>0.25377643504531722</v>
      </c>
    </row>
    <row r="18" spans="1:4" x14ac:dyDescent="0.35">
      <c r="A18" s="25" t="s">
        <v>37</v>
      </c>
      <c r="B18" s="49">
        <v>19</v>
      </c>
      <c r="C18" s="104">
        <f t="shared" si="1"/>
        <v>0.22093023255813954</v>
      </c>
      <c r="D18" s="100">
        <v>0.23564954682779457</v>
      </c>
    </row>
    <row r="19" spans="1:4" x14ac:dyDescent="0.35">
      <c r="A19" s="25" t="s">
        <v>40</v>
      </c>
      <c r="B19" s="49">
        <v>17</v>
      </c>
      <c r="C19" s="104">
        <f t="shared" si="1"/>
        <v>0.19767441860465115</v>
      </c>
      <c r="D19" s="100">
        <v>0.16012084592145015</v>
      </c>
    </row>
    <row r="20" spans="1:4" x14ac:dyDescent="0.35">
      <c r="A20" s="25" t="s">
        <v>38</v>
      </c>
      <c r="B20" s="49">
        <v>16</v>
      </c>
      <c r="C20" s="104">
        <f t="shared" si="1"/>
        <v>0.18604651162790697</v>
      </c>
      <c r="D20" s="100">
        <v>0.19939577039274925</v>
      </c>
    </row>
    <row r="21" spans="1:4" x14ac:dyDescent="0.35">
      <c r="A21" s="25" t="s">
        <v>39</v>
      </c>
      <c r="B21" s="49">
        <v>14</v>
      </c>
      <c r="C21" s="104">
        <f t="shared" si="1"/>
        <v>0.16279069767441862</v>
      </c>
      <c r="D21" s="100">
        <v>0.16012084592145015</v>
      </c>
    </row>
    <row r="22" spans="1:4" x14ac:dyDescent="0.35">
      <c r="A22" s="25" t="s">
        <v>43</v>
      </c>
      <c r="B22" s="49">
        <v>14</v>
      </c>
      <c r="C22" s="104">
        <f t="shared" si="1"/>
        <v>0.16279069767441862</v>
      </c>
      <c r="D22" s="100">
        <v>0.12386706948640483</v>
      </c>
    </row>
    <row r="23" spans="1:4" x14ac:dyDescent="0.35">
      <c r="A23" s="25" t="s">
        <v>41</v>
      </c>
      <c r="B23" s="49">
        <v>13</v>
      </c>
      <c r="C23" s="104">
        <f t="shared" si="1"/>
        <v>0.15116279069767441</v>
      </c>
      <c r="D23" s="100">
        <v>0.15105740181268881</v>
      </c>
    </row>
    <row r="24" spans="1:4" x14ac:dyDescent="0.35">
      <c r="A24" s="25" t="s">
        <v>42</v>
      </c>
      <c r="B24" s="49">
        <v>13</v>
      </c>
      <c r="C24" s="104">
        <f t="shared" si="1"/>
        <v>0.15116279069767441</v>
      </c>
      <c r="D24" s="100">
        <v>0.13293051359516617</v>
      </c>
    </row>
    <row r="25" spans="1:4" x14ac:dyDescent="0.35">
      <c r="A25" s="25" t="s">
        <v>48</v>
      </c>
      <c r="B25" s="49">
        <v>6</v>
      </c>
      <c r="C25" s="104">
        <f t="shared" si="1"/>
        <v>6.9767441860465115E-2</v>
      </c>
      <c r="D25" s="100">
        <v>6.3444108761329304E-2</v>
      </c>
    </row>
    <row r="26" spans="1:4" x14ac:dyDescent="0.35">
      <c r="A26" s="25" t="s">
        <v>45</v>
      </c>
      <c r="B26" s="49">
        <v>3</v>
      </c>
      <c r="C26" s="104">
        <f t="shared" si="1"/>
        <v>3.4883720930232558E-2</v>
      </c>
      <c r="D26" s="100">
        <f>15/331</f>
        <v>4.5317220543806644E-2</v>
      </c>
    </row>
    <row r="27" spans="1:4" x14ac:dyDescent="0.35">
      <c r="A27" s="25" t="s">
        <v>96</v>
      </c>
      <c r="B27" s="49">
        <v>2</v>
      </c>
      <c r="C27" s="104">
        <f t="shared" si="1"/>
        <v>2.3255813953488372E-2</v>
      </c>
      <c r="D27" s="105">
        <f>6/331</f>
        <v>1.812688821752266E-2</v>
      </c>
    </row>
    <row r="28" spans="1:4" x14ac:dyDescent="0.35">
      <c r="A28" s="25" t="s">
        <v>195</v>
      </c>
      <c r="B28" s="49">
        <v>2</v>
      </c>
      <c r="C28" s="104">
        <f t="shared" si="1"/>
        <v>2.3255813953488372E-2</v>
      </c>
      <c r="D28" s="100">
        <f>18/331</f>
        <v>5.4380664652567974E-2</v>
      </c>
    </row>
    <row r="29" spans="1:4" x14ac:dyDescent="0.35">
      <c r="A29" s="25" t="s">
        <v>297</v>
      </c>
      <c r="B29" s="49">
        <v>2</v>
      </c>
      <c r="C29" s="104">
        <f t="shared" si="1"/>
        <v>2.3255813953488372E-2</v>
      </c>
      <c r="D29" s="100">
        <f>6/331</f>
        <v>1.812688821752266E-2</v>
      </c>
    </row>
    <row r="30" spans="1:4" x14ac:dyDescent="0.35">
      <c r="A30" s="25" t="s">
        <v>44</v>
      </c>
      <c r="B30" s="49">
        <v>2</v>
      </c>
      <c r="C30" s="104">
        <f t="shared" si="1"/>
        <v>2.3255813953488372E-2</v>
      </c>
      <c r="D30" s="100">
        <f>10/331</f>
        <v>3.0211480362537766E-2</v>
      </c>
    </row>
    <row r="31" spans="1:4" x14ac:dyDescent="0.35">
      <c r="A31" s="25" t="s">
        <v>129</v>
      </c>
      <c r="B31" s="49">
        <v>1</v>
      </c>
      <c r="C31" s="104">
        <f t="shared" si="1"/>
        <v>1.1627906976744186E-2</v>
      </c>
      <c r="D31" s="100">
        <f>11/331</f>
        <v>3.3232628398791542E-2</v>
      </c>
    </row>
    <row r="32" spans="1:4" x14ac:dyDescent="0.35">
      <c r="A32" s="25" t="s">
        <v>97</v>
      </c>
      <c r="B32" s="49">
        <v>1</v>
      </c>
      <c r="C32" s="104">
        <f t="shared" si="1"/>
        <v>1.1627906976744186E-2</v>
      </c>
      <c r="D32" s="100">
        <f>7/331</f>
        <v>2.1148036253776436E-2</v>
      </c>
    </row>
    <row r="33" spans="1:14" x14ac:dyDescent="0.35">
      <c r="A33" s="25" t="s">
        <v>190</v>
      </c>
      <c r="B33" s="49">
        <v>1</v>
      </c>
      <c r="C33" s="104">
        <f t="shared" si="1"/>
        <v>1.1627906976744186E-2</v>
      </c>
      <c r="D33" s="100">
        <f>3/331</f>
        <v>9.0634441087613302E-3</v>
      </c>
    </row>
    <row r="34" spans="1:14" x14ac:dyDescent="0.35">
      <c r="A34" s="25" t="s">
        <v>98</v>
      </c>
      <c r="B34" s="49">
        <v>0</v>
      </c>
      <c r="C34" s="104">
        <f t="shared" si="1"/>
        <v>0</v>
      </c>
      <c r="D34" s="100">
        <v>3.9274924471299093E-2</v>
      </c>
    </row>
    <row r="35" spans="1:14" x14ac:dyDescent="0.35">
      <c r="A35" s="25" t="s">
        <v>46</v>
      </c>
      <c r="B35" s="49">
        <v>0</v>
      </c>
      <c r="C35" s="104">
        <f t="shared" si="1"/>
        <v>0</v>
      </c>
      <c r="D35" s="100">
        <v>2.1148036253776436E-2</v>
      </c>
    </row>
    <row r="36" spans="1:14" x14ac:dyDescent="0.35">
      <c r="A36" s="25" t="s">
        <v>189</v>
      </c>
      <c r="B36" s="49">
        <v>0</v>
      </c>
      <c r="C36" s="104">
        <f t="shared" si="1"/>
        <v>0</v>
      </c>
      <c r="D36" s="100">
        <f>5/331</f>
        <v>1.5105740181268883E-2</v>
      </c>
    </row>
    <row r="37" spans="1:14" x14ac:dyDescent="0.35">
      <c r="A37" s="28" t="s">
        <v>95</v>
      </c>
      <c r="B37" s="101">
        <v>0</v>
      </c>
      <c r="C37" s="106">
        <f t="shared" si="1"/>
        <v>0</v>
      </c>
      <c r="D37" s="103">
        <v>1.2084592145015106E-2</v>
      </c>
    </row>
    <row r="38" spans="1:14" x14ac:dyDescent="0.35">
      <c r="B38" s="49"/>
      <c r="C38" s="49"/>
      <c r="D38" s="49"/>
    </row>
    <row r="39" spans="1:14" ht="29" x14ac:dyDescent="0.35">
      <c r="A39" s="22" t="s">
        <v>83</v>
      </c>
      <c r="B39" s="23" t="s">
        <v>217</v>
      </c>
      <c r="C39" s="23" t="s">
        <v>218</v>
      </c>
      <c r="D39" s="24" t="s">
        <v>213</v>
      </c>
    </row>
    <row r="40" spans="1:14" x14ac:dyDescent="0.35">
      <c r="A40" s="25" t="s">
        <v>81</v>
      </c>
      <c r="B40" s="49">
        <v>44</v>
      </c>
      <c r="C40" s="99">
        <f t="shared" ref="C40:C57" si="2">B40/86</f>
        <v>0.51162790697674421</v>
      </c>
      <c r="D40" s="100">
        <v>0.41691842900302117</v>
      </c>
    </row>
    <row r="41" spans="1:14" x14ac:dyDescent="0.35">
      <c r="A41" s="25" t="s">
        <v>82</v>
      </c>
      <c r="B41" s="49">
        <v>40</v>
      </c>
      <c r="C41" s="99">
        <f t="shared" si="2"/>
        <v>0.46511627906976744</v>
      </c>
      <c r="D41" s="100">
        <v>0.47432024169184289</v>
      </c>
      <c r="M41" s="39"/>
      <c r="N41" s="54"/>
    </row>
    <row r="42" spans="1:14" x14ac:dyDescent="0.35">
      <c r="A42" s="25" t="s">
        <v>80</v>
      </c>
      <c r="B42" s="49">
        <v>35</v>
      </c>
      <c r="C42" s="99">
        <f t="shared" si="2"/>
        <v>0.40697674418604651</v>
      </c>
      <c r="D42" s="100">
        <v>0.24471299093655588</v>
      </c>
    </row>
    <row r="43" spans="1:14" x14ac:dyDescent="0.35">
      <c r="A43" s="25" t="s">
        <v>122</v>
      </c>
      <c r="B43" s="49">
        <v>31</v>
      </c>
      <c r="C43" s="99">
        <f t="shared" si="2"/>
        <v>0.36046511627906974</v>
      </c>
      <c r="D43" s="100">
        <v>0.30211480362537763</v>
      </c>
    </row>
    <row r="44" spans="1:14" x14ac:dyDescent="0.35">
      <c r="A44" s="25" t="s">
        <v>86</v>
      </c>
      <c r="B44" s="49">
        <v>24</v>
      </c>
      <c r="C44" s="99">
        <f t="shared" si="2"/>
        <v>0.27906976744186046</v>
      </c>
      <c r="D44" s="100">
        <v>0.2175226586102719</v>
      </c>
    </row>
    <row r="45" spans="1:14" x14ac:dyDescent="0.35">
      <c r="A45" s="25" t="s">
        <v>123</v>
      </c>
      <c r="B45" s="49">
        <v>16</v>
      </c>
      <c r="C45" s="99">
        <f t="shared" si="2"/>
        <v>0.18604651162790697</v>
      </c>
      <c r="D45" s="100">
        <v>0.17522658610271905</v>
      </c>
    </row>
    <row r="46" spans="1:14" x14ac:dyDescent="0.35">
      <c r="A46" s="25" t="s">
        <v>79</v>
      </c>
      <c r="B46" s="49">
        <v>15</v>
      </c>
      <c r="C46" s="99">
        <f t="shared" si="2"/>
        <v>0.1744186046511628</v>
      </c>
      <c r="D46" s="100">
        <v>0.15709969788519637</v>
      </c>
    </row>
    <row r="47" spans="1:14" x14ac:dyDescent="0.35">
      <c r="A47" s="25" t="s">
        <v>124</v>
      </c>
      <c r="B47" s="49">
        <v>12</v>
      </c>
      <c r="C47" s="99">
        <f t="shared" si="2"/>
        <v>0.13953488372093023</v>
      </c>
      <c r="D47" s="100">
        <v>0.14803625377643503</v>
      </c>
    </row>
    <row r="48" spans="1:14" x14ac:dyDescent="0.35">
      <c r="A48" s="25" t="s">
        <v>78</v>
      </c>
      <c r="B48" s="49">
        <v>10</v>
      </c>
      <c r="C48" s="99">
        <f t="shared" si="2"/>
        <v>0.11627906976744186</v>
      </c>
      <c r="D48" s="100">
        <v>8.4592145015105744E-2</v>
      </c>
    </row>
    <row r="49" spans="1:4" x14ac:dyDescent="0.35">
      <c r="A49" s="25" t="s">
        <v>126</v>
      </c>
      <c r="B49" s="49">
        <v>8</v>
      </c>
      <c r="C49" s="99">
        <f t="shared" si="2"/>
        <v>9.3023255813953487E-2</v>
      </c>
      <c r="D49" s="100">
        <v>6.6465256797583083E-2</v>
      </c>
    </row>
    <row r="50" spans="1:4" x14ac:dyDescent="0.35">
      <c r="A50" s="25" t="s">
        <v>77</v>
      </c>
      <c r="B50" s="49">
        <v>6</v>
      </c>
      <c r="C50" s="99">
        <f t="shared" si="2"/>
        <v>6.9767441860465115E-2</v>
      </c>
      <c r="D50" s="100">
        <v>7.5528700906344406E-2</v>
      </c>
    </row>
    <row r="51" spans="1:4" x14ac:dyDescent="0.35">
      <c r="A51" s="25" t="s">
        <v>125</v>
      </c>
      <c r="B51" s="49">
        <v>6</v>
      </c>
      <c r="C51" s="99">
        <f t="shared" si="2"/>
        <v>6.9767441860465115E-2</v>
      </c>
      <c r="D51" s="100">
        <v>8.1570996978851965E-2</v>
      </c>
    </row>
    <row r="52" spans="1:4" x14ac:dyDescent="0.35">
      <c r="A52" s="25" t="s">
        <v>127</v>
      </c>
      <c r="B52" s="49">
        <v>2</v>
      </c>
      <c r="C52" s="99">
        <f t="shared" si="2"/>
        <v>2.3255813953488372E-2</v>
      </c>
      <c r="D52" s="100">
        <v>3.0211480362537766E-2</v>
      </c>
    </row>
    <row r="53" spans="1:4" x14ac:dyDescent="0.35">
      <c r="A53" s="25" t="s">
        <v>73</v>
      </c>
      <c r="B53" s="49">
        <v>1</v>
      </c>
      <c r="C53" s="99">
        <f t="shared" si="2"/>
        <v>1.1627906976744186E-2</v>
      </c>
      <c r="D53" s="100">
        <f>2/331</f>
        <v>6.0422960725075529E-3</v>
      </c>
    </row>
    <row r="54" spans="1:4" x14ac:dyDescent="0.35">
      <c r="A54" s="25" t="s">
        <v>368</v>
      </c>
      <c r="B54" s="49">
        <v>1</v>
      </c>
      <c r="C54" s="99">
        <f t="shared" si="2"/>
        <v>1.1627906976744186E-2</v>
      </c>
      <c r="D54" s="100">
        <f>3/331</f>
        <v>9.0634441087613302E-3</v>
      </c>
    </row>
    <row r="55" spans="1:4" x14ac:dyDescent="0.35">
      <c r="A55" s="25" t="s">
        <v>75</v>
      </c>
      <c r="B55" s="49">
        <v>0</v>
      </c>
      <c r="C55" s="99">
        <f t="shared" si="2"/>
        <v>0</v>
      </c>
      <c r="D55" s="100">
        <f>2/331</f>
        <v>6.0422960725075529E-3</v>
      </c>
    </row>
    <row r="56" spans="1:4" x14ac:dyDescent="0.35">
      <c r="A56" s="25" t="s">
        <v>74</v>
      </c>
      <c r="B56" s="49">
        <v>0</v>
      </c>
      <c r="C56" s="99">
        <f t="shared" si="2"/>
        <v>0</v>
      </c>
      <c r="D56" s="100">
        <v>6.0422960725075529E-3</v>
      </c>
    </row>
    <row r="57" spans="1:4" x14ac:dyDescent="0.35">
      <c r="A57" s="28" t="s">
        <v>128</v>
      </c>
      <c r="B57" s="101">
        <v>0</v>
      </c>
      <c r="C57" s="102">
        <f t="shared" si="2"/>
        <v>0</v>
      </c>
      <c r="D57" s="103">
        <v>1.2084592145015106E-2</v>
      </c>
    </row>
    <row r="58" spans="1:4" x14ac:dyDescent="0.35">
      <c r="B58" s="49"/>
      <c r="C58" s="49"/>
      <c r="D58" s="49"/>
    </row>
    <row r="59" spans="1:4" ht="29" x14ac:dyDescent="0.35">
      <c r="A59" s="34" t="s">
        <v>115</v>
      </c>
      <c r="B59" s="23" t="s">
        <v>217</v>
      </c>
      <c r="C59" s="23" t="s">
        <v>218</v>
      </c>
      <c r="D59" s="24" t="s">
        <v>213</v>
      </c>
    </row>
    <row r="60" spans="1:4" x14ac:dyDescent="0.35">
      <c r="A60" s="25" t="s">
        <v>116</v>
      </c>
      <c r="B60" s="49">
        <v>11</v>
      </c>
      <c r="C60" s="99">
        <f>B60/86</f>
        <v>0.12790697674418605</v>
      </c>
      <c r="D60" s="100">
        <v>8.1081081081081086E-2</v>
      </c>
    </row>
    <row r="61" spans="1:4" x14ac:dyDescent="0.35">
      <c r="A61" s="25" t="s">
        <v>117</v>
      </c>
      <c r="B61" s="49">
        <v>11</v>
      </c>
      <c r="C61" s="99">
        <f>B61/86</f>
        <v>0.12790697674418605</v>
      </c>
      <c r="D61" s="100">
        <v>9.0090090090090086E-2</v>
      </c>
    </row>
    <row r="62" spans="1:4" x14ac:dyDescent="0.35">
      <c r="A62" s="25" t="s">
        <v>118</v>
      </c>
      <c r="B62" s="49">
        <v>42</v>
      </c>
      <c r="C62" s="99">
        <f>B62/86</f>
        <v>0.48837209302325579</v>
      </c>
      <c r="D62" s="100">
        <v>0.38438438438438438</v>
      </c>
    </row>
    <row r="63" spans="1:4" x14ac:dyDescent="0.35">
      <c r="A63" s="28" t="s">
        <v>119</v>
      </c>
      <c r="B63" s="101">
        <v>23</v>
      </c>
      <c r="C63" s="102">
        <f>B63/86</f>
        <v>0.26744186046511625</v>
      </c>
      <c r="D63" s="103">
        <v>0.44144144144144143</v>
      </c>
    </row>
    <row r="64" spans="1:4" x14ac:dyDescent="0.35">
      <c r="B64" s="49"/>
      <c r="C64" s="49"/>
      <c r="D64" s="49"/>
    </row>
    <row r="65" spans="1:4" ht="43.5" x14ac:dyDescent="0.35">
      <c r="A65" s="34" t="s">
        <v>145</v>
      </c>
      <c r="B65" s="23" t="s">
        <v>217</v>
      </c>
      <c r="C65" s="23" t="s">
        <v>218</v>
      </c>
      <c r="D65" s="24" t="s">
        <v>213</v>
      </c>
    </row>
    <row r="66" spans="1:4" x14ac:dyDescent="0.35">
      <c r="A66" s="25" t="s">
        <v>143</v>
      </c>
      <c r="B66" s="49">
        <v>25</v>
      </c>
      <c r="C66" s="99">
        <f>B66/86</f>
        <v>0.29069767441860467</v>
      </c>
      <c r="D66" s="100">
        <v>0.26586102719033233</v>
      </c>
    </row>
    <row r="67" spans="1:4" x14ac:dyDescent="0.35">
      <c r="A67" s="28" t="s">
        <v>144</v>
      </c>
      <c r="B67" s="101">
        <v>61</v>
      </c>
      <c r="C67" s="102">
        <f>B67/86</f>
        <v>0.70930232558139539</v>
      </c>
      <c r="D67" s="103">
        <v>0.73413897280966767</v>
      </c>
    </row>
    <row r="68" spans="1:4" x14ac:dyDescent="0.35">
      <c r="B68" s="49"/>
      <c r="C68" s="49"/>
      <c r="D68" s="49"/>
    </row>
    <row r="69" spans="1:4" ht="29" x14ac:dyDescent="0.35">
      <c r="A69" s="34" t="s">
        <v>105</v>
      </c>
      <c r="B69" s="23" t="s">
        <v>217</v>
      </c>
      <c r="C69" s="23" t="s">
        <v>218</v>
      </c>
      <c r="D69" s="24" t="s">
        <v>213</v>
      </c>
    </row>
    <row r="70" spans="1:4" x14ac:dyDescent="0.35">
      <c r="A70" s="25" t="s">
        <v>107</v>
      </c>
      <c r="B70" s="49">
        <v>5</v>
      </c>
      <c r="C70" s="99">
        <f t="shared" ref="C70:C77" si="3">B70/86</f>
        <v>5.8139534883720929E-2</v>
      </c>
      <c r="D70" s="100">
        <v>6.3444108761329304E-2</v>
      </c>
    </row>
    <row r="71" spans="1:4" x14ac:dyDescent="0.35">
      <c r="A71" s="25" t="s">
        <v>108</v>
      </c>
      <c r="B71" s="49">
        <v>4</v>
      </c>
      <c r="C71" s="99">
        <f t="shared" si="3"/>
        <v>4.6511627906976744E-2</v>
      </c>
      <c r="D71" s="100">
        <v>3.3232628398791542E-2</v>
      </c>
    </row>
    <row r="72" spans="1:4" x14ac:dyDescent="0.35">
      <c r="A72" s="25" t="s">
        <v>109</v>
      </c>
      <c r="B72" s="49">
        <v>2</v>
      </c>
      <c r="C72" s="99">
        <f t="shared" si="3"/>
        <v>2.3255813953488372E-2</v>
      </c>
      <c r="D72" s="100">
        <v>3.9274924471299093E-2</v>
      </c>
    </row>
    <row r="73" spans="1:4" x14ac:dyDescent="0.35">
      <c r="A73" s="25" t="s">
        <v>110</v>
      </c>
      <c r="B73" s="49">
        <v>10</v>
      </c>
      <c r="C73" s="99">
        <f t="shared" si="3"/>
        <v>0.11627906976744186</v>
      </c>
      <c r="D73" s="100">
        <v>0.11480362537764351</v>
      </c>
    </row>
    <row r="74" spans="1:4" x14ac:dyDescent="0.35">
      <c r="A74" s="25" t="s">
        <v>111</v>
      </c>
      <c r="B74" s="49">
        <v>19</v>
      </c>
      <c r="C74" s="99">
        <f t="shared" si="3"/>
        <v>0.22093023255813954</v>
      </c>
      <c r="D74" s="100">
        <v>0.18731117824773413</v>
      </c>
    </row>
    <row r="75" spans="1:4" x14ac:dyDescent="0.35">
      <c r="A75" s="25" t="s">
        <v>112</v>
      </c>
      <c r="B75" s="49">
        <v>9</v>
      </c>
      <c r="C75" s="99">
        <f t="shared" si="3"/>
        <v>0.10465116279069768</v>
      </c>
      <c r="D75" s="100">
        <v>0.10574018126888217</v>
      </c>
    </row>
    <row r="76" spans="1:4" x14ac:dyDescent="0.35">
      <c r="A76" s="25" t="s">
        <v>113</v>
      </c>
      <c r="B76" s="49">
        <v>33</v>
      </c>
      <c r="C76" s="99">
        <f t="shared" si="3"/>
        <v>0.38372093023255816</v>
      </c>
      <c r="D76" s="100">
        <v>0.39577039274924469</v>
      </c>
    </row>
    <row r="77" spans="1:4" x14ac:dyDescent="0.35">
      <c r="A77" s="28" t="s">
        <v>114</v>
      </c>
      <c r="B77" s="101">
        <v>3</v>
      </c>
      <c r="C77" s="102">
        <f t="shared" si="3"/>
        <v>3.4883720930232558E-2</v>
      </c>
      <c r="D77" s="103">
        <v>6.0422960725075532E-2</v>
      </c>
    </row>
    <row r="78" spans="1:4" x14ac:dyDescent="0.35">
      <c r="B78" s="49"/>
      <c r="C78" s="49"/>
      <c r="D78" s="49"/>
    </row>
    <row r="79" spans="1:4" ht="29" x14ac:dyDescent="0.35">
      <c r="A79" s="34" t="s">
        <v>154</v>
      </c>
      <c r="B79" s="23" t="s">
        <v>217</v>
      </c>
      <c r="C79" s="23" t="s">
        <v>218</v>
      </c>
      <c r="D79" s="24" t="s">
        <v>213</v>
      </c>
    </row>
    <row r="80" spans="1:4" x14ac:dyDescent="0.35">
      <c r="A80" s="25" t="s">
        <v>155</v>
      </c>
      <c r="B80" s="49">
        <v>63</v>
      </c>
      <c r="C80" s="99">
        <f t="shared" ref="C80:C87" si="4">B80/86</f>
        <v>0.73255813953488369</v>
      </c>
      <c r="D80" s="100">
        <v>0.66767371601208458</v>
      </c>
    </row>
    <row r="81" spans="1:4" x14ac:dyDescent="0.35">
      <c r="A81" s="25" t="s">
        <v>156</v>
      </c>
      <c r="B81" s="49">
        <v>24</v>
      </c>
      <c r="C81" s="99">
        <f t="shared" si="4"/>
        <v>0.27906976744186046</v>
      </c>
      <c r="D81" s="100">
        <v>0.25377643504531722</v>
      </c>
    </row>
    <row r="82" spans="1:4" x14ac:dyDescent="0.35">
      <c r="A82" s="25" t="s">
        <v>158</v>
      </c>
      <c r="B82" s="49">
        <v>21</v>
      </c>
      <c r="C82" s="99">
        <f t="shared" si="4"/>
        <v>0.2441860465116279</v>
      </c>
      <c r="D82" s="100">
        <v>0.14501510574018128</v>
      </c>
    </row>
    <row r="83" spans="1:4" x14ac:dyDescent="0.35">
      <c r="A83" s="25" t="s">
        <v>157</v>
      </c>
      <c r="B83" s="49">
        <v>16</v>
      </c>
      <c r="C83" s="99">
        <f t="shared" si="4"/>
        <v>0.18604651162790697</v>
      </c>
      <c r="D83" s="100">
        <v>0.15105740181268881</v>
      </c>
    </row>
    <row r="84" spans="1:4" x14ac:dyDescent="0.35">
      <c r="A84" s="25" t="s">
        <v>160</v>
      </c>
      <c r="B84" s="49">
        <v>16</v>
      </c>
      <c r="C84" s="99">
        <f t="shared" si="4"/>
        <v>0.18604651162790697</v>
      </c>
      <c r="D84" s="100">
        <v>0.10574018126888217</v>
      </c>
    </row>
    <row r="85" spans="1:4" x14ac:dyDescent="0.35">
      <c r="A85" s="25" t="s">
        <v>159</v>
      </c>
      <c r="B85" s="49">
        <v>5</v>
      </c>
      <c r="C85" s="99">
        <f t="shared" si="4"/>
        <v>5.8139534883720929E-2</v>
      </c>
      <c r="D85" s="100">
        <v>0.12688821752265861</v>
      </c>
    </row>
    <row r="86" spans="1:4" x14ac:dyDescent="0.35">
      <c r="A86" s="25" t="s">
        <v>161</v>
      </c>
      <c r="B86" s="49">
        <v>3</v>
      </c>
      <c r="C86" s="99">
        <f t="shared" si="4"/>
        <v>3.4883720930232558E-2</v>
      </c>
      <c r="D86" s="100">
        <v>7.8549848942598186E-2</v>
      </c>
    </row>
    <row r="87" spans="1:4" x14ac:dyDescent="0.35">
      <c r="A87" s="28" t="s">
        <v>162</v>
      </c>
      <c r="B87" s="101">
        <v>2</v>
      </c>
      <c r="C87" s="102">
        <f t="shared" si="4"/>
        <v>2.3255813953488372E-2</v>
      </c>
      <c r="D87" s="103">
        <v>1.2084592145015106E-2</v>
      </c>
    </row>
    <row r="88" spans="1:4" x14ac:dyDescent="0.35">
      <c r="B88" s="49"/>
      <c r="C88" s="49"/>
      <c r="D88" s="49"/>
    </row>
    <row r="89" spans="1:4" ht="43.5" x14ac:dyDescent="0.35">
      <c r="A89" s="34" t="s">
        <v>146</v>
      </c>
      <c r="B89" s="23" t="s">
        <v>217</v>
      </c>
      <c r="C89" s="23" t="s">
        <v>218</v>
      </c>
      <c r="D89" s="24" t="s">
        <v>213</v>
      </c>
    </row>
    <row r="90" spans="1:4" x14ac:dyDescent="0.35">
      <c r="A90" s="25" t="s">
        <v>147</v>
      </c>
      <c r="B90" s="49">
        <v>73</v>
      </c>
      <c r="C90" s="99">
        <f>B90/86</f>
        <v>0.84883720930232553</v>
      </c>
      <c r="D90" s="100">
        <v>0.83383685800604235</v>
      </c>
    </row>
    <row r="91" spans="1:4" x14ac:dyDescent="0.35">
      <c r="A91" s="25" t="s">
        <v>148</v>
      </c>
      <c r="B91" s="49">
        <v>26</v>
      </c>
      <c r="C91" s="99">
        <f>B91/86</f>
        <v>0.30232558139534882</v>
      </c>
      <c r="D91" s="100">
        <v>0.38368580060422963</v>
      </c>
    </row>
    <row r="92" spans="1:4" x14ac:dyDescent="0.35">
      <c r="A92" s="28" t="s">
        <v>89</v>
      </c>
      <c r="B92" s="101">
        <v>11</v>
      </c>
      <c r="C92" s="102">
        <f>B92/86</f>
        <v>0.12790697674418605</v>
      </c>
      <c r="D92" s="103">
        <v>0.12084592145015106</v>
      </c>
    </row>
    <row r="93" spans="1:4" x14ac:dyDescent="0.35">
      <c r="B93" s="49"/>
      <c r="C93" s="49"/>
      <c r="D93" s="49"/>
    </row>
    <row r="94" spans="1:4" ht="87" x14ac:dyDescent="0.35">
      <c r="A94" s="34" t="s">
        <v>149</v>
      </c>
      <c r="B94" s="23" t="s">
        <v>217</v>
      </c>
      <c r="C94" s="23" t="s">
        <v>218</v>
      </c>
      <c r="D94" s="24" t="s">
        <v>213</v>
      </c>
    </row>
    <row r="95" spans="1:4" x14ac:dyDescent="0.35">
      <c r="A95" s="25" t="s">
        <v>150</v>
      </c>
      <c r="B95" s="49">
        <v>37</v>
      </c>
      <c r="C95" s="99">
        <f>B95/86</f>
        <v>0.43023255813953487</v>
      </c>
      <c r="D95" s="100">
        <v>0.45015105740181272</v>
      </c>
    </row>
    <row r="96" spans="1:4" x14ac:dyDescent="0.35">
      <c r="A96" s="25" t="s">
        <v>152</v>
      </c>
      <c r="B96" s="49">
        <v>49</v>
      </c>
      <c r="C96" s="99">
        <f>B96/86</f>
        <v>0.56976744186046513</v>
      </c>
      <c r="D96" s="100">
        <v>0.52567975830815705</v>
      </c>
    </row>
    <row r="97" spans="1:4" x14ac:dyDescent="0.35">
      <c r="A97" s="25" t="s">
        <v>151</v>
      </c>
      <c r="B97" s="49">
        <v>56</v>
      </c>
      <c r="C97" s="99">
        <f>B97/86</f>
        <v>0.65116279069767447</v>
      </c>
      <c r="D97" s="100">
        <v>0.58308157099697888</v>
      </c>
    </row>
    <row r="98" spans="1:4" x14ac:dyDescent="0.35">
      <c r="A98" s="28" t="s">
        <v>153</v>
      </c>
      <c r="B98" s="101">
        <v>30</v>
      </c>
      <c r="C98" s="102">
        <f>B98/86</f>
        <v>0.34883720930232559</v>
      </c>
      <c r="D98" s="103">
        <v>0.38368580060422963</v>
      </c>
    </row>
    <row r="99" spans="1:4" x14ac:dyDescent="0.35">
      <c r="B99" s="49"/>
      <c r="C99" s="49"/>
      <c r="D99" s="49"/>
    </row>
    <row r="100" spans="1:4" ht="43.5" x14ac:dyDescent="0.35">
      <c r="A100" s="34" t="s">
        <v>163</v>
      </c>
      <c r="B100" s="23" t="s">
        <v>217</v>
      </c>
      <c r="C100" s="23" t="s">
        <v>218</v>
      </c>
      <c r="D100" s="24" t="s">
        <v>213</v>
      </c>
    </row>
    <row r="101" spans="1:4" x14ac:dyDescent="0.35">
      <c r="A101" s="25" t="s">
        <v>164</v>
      </c>
      <c r="B101" s="49">
        <v>36</v>
      </c>
      <c r="C101" s="99">
        <f t="shared" ref="C101:C114" si="5">B101/86</f>
        <v>0.41860465116279072</v>
      </c>
      <c r="D101" s="100">
        <v>0.39274924471299094</v>
      </c>
    </row>
    <row r="102" spans="1:4" x14ac:dyDescent="0.35">
      <c r="A102" s="25" t="s">
        <v>165</v>
      </c>
      <c r="B102" s="49">
        <v>32</v>
      </c>
      <c r="C102" s="99">
        <f t="shared" si="5"/>
        <v>0.37209302325581395</v>
      </c>
      <c r="D102" s="100">
        <v>0.38670694864048338</v>
      </c>
    </row>
    <row r="103" spans="1:4" x14ac:dyDescent="0.35">
      <c r="A103" s="25" t="s">
        <v>166</v>
      </c>
      <c r="B103" s="49">
        <v>20</v>
      </c>
      <c r="C103" s="99">
        <f t="shared" si="5"/>
        <v>0.23255813953488372</v>
      </c>
      <c r="D103" s="100">
        <v>0.23262839879154079</v>
      </c>
    </row>
    <row r="104" spans="1:4" x14ac:dyDescent="0.35">
      <c r="A104" s="25" t="s">
        <v>169</v>
      </c>
      <c r="B104" s="49">
        <v>18</v>
      </c>
      <c r="C104" s="99">
        <f t="shared" si="5"/>
        <v>0.20930232558139536</v>
      </c>
      <c r="D104" s="100">
        <v>0.19637462235649547</v>
      </c>
    </row>
    <row r="105" spans="1:4" x14ac:dyDescent="0.35">
      <c r="A105" s="25" t="s">
        <v>168</v>
      </c>
      <c r="B105" s="49">
        <v>17</v>
      </c>
      <c r="C105" s="99">
        <f t="shared" si="5"/>
        <v>0.19767441860465115</v>
      </c>
      <c r="D105" s="100">
        <v>0.2175226586102719</v>
      </c>
    </row>
    <row r="106" spans="1:4" x14ac:dyDescent="0.35">
      <c r="A106" s="25" t="s">
        <v>170</v>
      </c>
      <c r="B106" s="49">
        <v>17</v>
      </c>
      <c r="C106" s="99">
        <f t="shared" si="5"/>
        <v>0.19767441860465115</v>
      </c>
      <c r="D106" s="100">
        <v>0.16314199395770393</v>
      </c>
    </row>
    <row r="107" spans="1:4" x14ac:dyDescent="0.35">
      <c r="A107" s="25" t="s">
        <v>167</v>
      </c>
      <c r="B107" s="49">
        <v>14</v>
      </c>
      <c r="C107" s="99">
        <f t="shared" si="5"/>
        <v>0.16279069767441862</v>
      </c>
      <c r="D107" s="100">
        <v>0.22658610271903323</v>
      </c>
    </row>
    <row r="108" spans="1:4" x14ac:dyDescent="0.35">
      <c r="A108" s="25" t="s">
        <v>171</v>
      </c>
      <c r="B108" s="49">
        <v>10</v>
      </c>
      <c r="C108" s="99">
        <f t="shared" si="5"/>
        <v>0.11627906976744186</v>
      </c>
      <c r="D108" s="100">
        <v>0.15105740181268881</v>
      </c>
    </row>
    <row r="109" spans="1:4" x14ac:dyDescent="0.35">
      <c r="A109" s="25" t="s">
        <v>172</v>
      </c>
      <c r="B109" s="49">
        <v>4</v>
      </c>
      <c r="C109" s="99">
        <f t="shared" si="5"/>
        <v>4.6511627906976744E-2</v>
      </c>
      <c r="D109" s="100">
        <v>5.7401812688821753E-2</v>
      </c>
    </row>
    <row r="110" spans="1:4" x14ac:dyDescent="0.35">
      <c r="A110" s="25" t="s">
        <v>173</v>
      </c>
      <c r="B110" s="49">
        <v>3</v>
      </c>
      <c r="C110" s="99">
        <f t="shared" si="5"/>
        <v>3.4883720930232558E-2</v>
      </c>
      <c r="D110" s="100">
        <v>5.1359516616314202E-2</v>
      </c>
    </row>
    <row r="111" spans="1:4" x14ac:dyDescent="0.35">
      <c r="A111" s="25" t="s">
        <v>175</v>
      </c>
      <c r="B111" s="49">
        <v>3</v>
      </c>
      <c r="C111" s="99">
        <f t="shared" si="5"/>
        <v>3.4883720930232558E-2</v>
      </c>
      <c r="D111" s="100">
        <v>1.812688821752266E-2</v>
      </c>
    </row>
    <row r="112" spans="1:4" x14ac:dyDescent="0.35">
      <c r="A112" s="25" t="s">
        <v>174</v>
      </c>
      <c r="B112" s="49">
        <v>2</v>
      </c>
      <c r="C112" s="99">
        <f t="shared" si="5"/>
        <v>2.3255813953488372E-2</v>
      </c>
      <c r="D112" s="100">
        <v>2.4169184290030211E-2</v>
      </c>
    </row>
    <row r="113" spans="1:4" x14ac:dyDescent="0.35">
      <c r="A113" s="25" t="s">
        <v>176</v>
      </c>
      <c r="B113" s="49">
        <v>2</v>
      </c>
      <c r="C113" s="99">
        <f t="shared" si="5"/>
        <v>2.3255813953488372E-2</v>
      </c>
      <c r="D113" s="100">
        <v>9.0634441087613302E-3</v>
      </c>
    </row>
    <row r="114" spans="1:4" x14ac:dyDescent="0.35">
      <c r="A114" s="28" t="s">
        <v>177</v>
      </c>
      <c r="B114" s="101">
        <v>0</v>
      </c>
      <c r="C114" s="102">
        <f t="shared" si="5"/>
        <v>0</v>
      </c>
      <c r="D114" s="103">
        <v>6.0422960725075529E-3</v>
      </c>
    </row>
    <row r="115" spans="1:4" x14ac:dyDescent="0.35">
      <c r="B115" s="49"/>
      <c r="C115" s="49"/>
      <c r="D115" s="49"/>
    </row>
    <row r="116" spans="1:4" ht="29" x14ac:dyDescent="0.35">
      <c r="A116" s="34" t="s">
        <v>94</v>
      </c>
      <c r="B116" s="23" t="s">
        <v>217</v>
      </c>
      <c r="C116" s="23" t="s">
        <v>218</v>
      </c>
      <c r="D116" s="24" t="s">
        <v>213</v>
      </c>
    </row>
    <row r="117" spans="1:4" x14ac:dyDescent="0.35">
      <c r="A117" s="25" t="s">
        <v>87</v>
      </c>
      <c r="B117" s="49">
        <v>13</v>
      </c>
      <c r="C117" s="99">
        <f>B117/86</f>
        <v>0.15116279069767441</v>
      </c>
      <c r="D117" s="100">
        <v>0.12386706948640483</v>
      </c>
    </row>
    <row r="118" spans="1:4" x14ac:dyDescent="0.35">
      <c r="A118" s="25" t="s">
        <v>88</v>
      </c>
      <c r="B118" s="49">
        <v>23</v>
      </c>
      <c r="C118" s="99">
        <f>B118/86</f>
        <v>0.26744186046511625</v>
      </c>
      <c r="D118" s="100">
        <v>0.25679758308157102</v>
      </c>
    </row>
    <row r="119" spans="1:4" x14ac:dyDescent="0.35">
      <c r="A119" s="25" t="s">
        <v>89</v>
      </c>
      <c r="B119" s="49">
        <v>20</v>
      </c>
      <c r="C119" s="99">
        <f>B119/86</f>
        <v>0.23255813953488372</v>
      </c>
      <c r="D119" s="100">
        <v>0.2809667673716012</v>
      </c>
    </row>
    <row r="120" spans="1:4" x14ac:dyDescent="0.35">
      <c r="A120" s="28" t="s">
        <v>90</v>
      </c>
      <c r="B120" s="101">
        <v>30</v>
      </c>
      <c r="C120" s="102">
        <f>B120/86</f>
        <v>0.34883720930232559</v>
      </c>
      <c r="D120" s="103">
        <v>0.30513595166163143</v>
      </c>
    </row>
  </sheetData>
  <sheetProtection algorithmName="SHA-512" hashValue="6Bp7rY3YrOcZnzOHkd5d0sx7jHmmIygsD71lriCGqV9QMG+xpr/DSup5jr9pH+DGJtbB2giJyFOhtJ5ZFzeoIg==" saltValue="8i5OU6plgOevT+QS9NEySw==" spinCount="100000" sheet="1" objects="1" scenarios="1"/>
  <sortState xmlns:xlrd2="http://schemas.microsoft.com/office/spreadsheetml/2017/richdata2" ref="A40:D57">
    <sortCondition descending="1" ref="B40:B57"/>
  </sortState>
  <conditionalFormatting sqref="C15:D37">
    <cfRule type="colorScale" priority="6">
      <colorScale>
        <cfvo type="min"/>
        <cfvo type="percentile" val="50"/>
        <cfvo type="max"/>
        <color rgb="FFF8696B"/>
        <color rgb="FFFFEB84"/>
        <color rgb="FF63BE7B"/>
      </colorScale>
    </cfRule>
  </conditionalFormatting>
  <conditionalFormatting sqref="C66:D67">
    <cfRule type="colorScale" priority="4">
      <colorScale>
        <cfvo type="min"/>
        <cfvo type="percentile" val="50"/>
        <cfvo type="max"/>
        <color rgb="FFF8696B"/>
        <color rgb="FFFFEB84"/>
        <color rgb="FF63BE7B"/>
      </colorScale>
    </cfRule>
  </conditionalFormatting>
  <conditionalFormatting sqref="C70:D77 C40:D57">
    <cfRule type="colorScale" priority="9">
      <colorScale>
        <cfvo type="min"/>
        <cfvo type="percentile" val="50"/>
        <cfvo type="max"/>
        <color rgb="FFF8696B"/>
        <color rgb="FFFFEB84"/>
        <color rgb="FF63BE7B"/>
      </colorScale>
    </cfRule>
  </conditionalFormatting>
  <conditionalFormatting sqref="C70:D77">
    <cfRule type="colorScale" priority="3">
      <colorScale>
        <cfvo type="min"/>
        <cfvo type="percentile" val="50"/>
        <cfvo type="max"/>
        <color rgb="FFF8696B"/>
        <color rgb="FFFFEB84"/>
        <color rgb="FF63BE7B"/>
      </colorScale>
    </cfRule>
  </conditionalFormatting>
  <conditionalFormatting sqref="C80:D87">
    <cfRule type="colorScale" priority="5">
      <colorScale>
        <cfvo type="min"/>
        <cfvo type="percentile" val="50"/>
        <cfvo type="max"/>
        <color rgb="FFF8696B"/>
        <color rgb="FFFFEB84"/>
        <color rgb="FF63BE7B"/>
      </colorScale>
    </cfRule>
  </conditionalFormatting>
  <conditionalFormatting sqref="C90:D92 C60:D63 M41:N41">
    <cfRule type="colorScale" priority="8">
      <colorScale>
        <cfvo type="min"/>
        <cfvo type="percentile" val="50"/>
        <cfvo type="max"/>
        <color rgb="FFF8696B"/>
        <color rgb="FFFFEB84"/>
        <color rgb="FF63BE7B"/>
      </colorScale>
    </cfRule>
  </conditionalFormatting>
  <conditionalFormatting sqref="C95:D98">
    <cfRule type="colorScale" priority="2">
      <colorScale>
        <cfvo type="min"/>
        <cfvo type="percentile" val="50"/>
        <cfvo type="max"/>
        <color rgb="FFF8696B"/>
        <color rgb="FFFFEB84"/>
        <color rgb="FF63BE7B"/>
      </colorScale>
    </cfRule>
  </conditionalFormatting>
  <conditionalFormatting sqref="C101:D114 C95:D98">
    <cfRule type="colorScale" priority="7">
      <colorScale>
        <cfvo type="min"/>
        <cfvo type="percentile" val="50"/>
        <cfvo type="max"/>
        <color rgb="FFF8696B"/>
        <color rgb="FFFFEB84"/>
        <color rgb="FF63BE7B"/>
      </colorScale>
    </cfRule>
  </conditionalFormatting>
  <conditionalFormatting sqref="C117:D120">
    <cfRule type="colorScale" priority="1">
      <colorScale>
        <cfvo type="min"/>
        <cfvo type="percentile" val="50"/>
        <cfvo type="max"/>
        <color rgb="FFF8696B"/>
        <color rgb="FFFFEB84"/>
        <color rgb="FF63BE7B"/>
      </colorScale>
    </cfRule>
  </conditionalFormatting>
  <hyperlinks>
    <hyperlink ref="A1" location="Contents!A1" display="Back to contents page" xr:uid="{C657CF98-E38B-4957-B1A3-B05D7D7A2AC7}"/>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B969-C280-484A-90FA-86AF254FF846}">
  <dimension ref="A1:D120"/>
  <sheetViews>
    <sheetView zoomScaleNormal="100" workbookViewId="0">
      <selection activeCell="A4" sqref="A4"/>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7" t="s">
        <v>18</v>
      </c>
    </row>
    <row r="2" spans="1:4" ht="15.5" x14ac:dyDescent="0.35">
      <c r="A2" s="50" t="s">
        <v>288</v>
      </c>
      <c r="B2" s="65"/>
    </row>
    <row r="3" spans="1:4" s="53" customFormat="1" x14ac:dyDescent="0.35">
      <c r="A3" s="53" t="s">
        <v>369</v>
      </c>
    </row>
    <row r="4" spans="1:4" x14ac:dyDescent="0.35">
      <c r="A4" s="53" t="s">
        <v>370</v>
      </c>
    </row>
    <row r="6" spans="1:4" x14ac:dyDescent="0.35">
      <c r="A6" s="22" t="s">
        <v>19</v>
      </c>
      <c r="B6" s="23" t="s">
        <v>20</v>
      </c>
      <c r="C6" s="24" t="s">
        <v>21</v>
      </c>
    </row>
    <row r="7" spans="1:4" x14ac:dyDescent="0.35">
      <c r="A7" s="25" t="s">
        <v>22</v>
      </c>
      <c r="B7">
        <v>4</v>
      </c>
      <c r="C7" s="27">
        <f>B7/331</f>
        <v>1.2084592145015106E-2</v>
      </c>
    </row>
    <row r="8" spans="1:4" x14ac:dyDescent="0.35">
      <c r="A8" s="45" t="s">
        <v>23</v>
      </c>
      <c r="B8" s="46">
        <v>37</v>
      </c>
      <c r="C8" s="47">
        <f t="shared" ref="C8:C12" si="0">B8/331</f>
        <v>0.11178247734138973</v>
      </c>
    </row>
    <row r="9" spans="1:4" x14ac:dyDescent="0.35">
      <c r="A9" s="25" t="s">
        <v>239</v>
      </c>
      <c r="B9">
        <v>180</v>
      </c>
      <c r="C9" s="27">
        <f t="shared" si="0"/>
        <v>0.54380664652567978</v>
      </c>
    </row>
    <row r="10" spans="1:4" x14ac:dyDescent="0.35">
      <c r="A10" s="25" t="s">
        <v>25</v>
      </c>
      <c r="B10">
        <v>86</v>
      </c>
      <c r="C10" s="27">
        <f t="shared" si="0"/>
        <v>0.25981873111782477</v>
      </c>
    </row>
    <row r="11" spans="1:4" x14ac:dyDescent="0.35">
      <c r="A11" s="25" t="s">
        <v>26</v>
      </c>
      <c r="B11">
        <v>21</v>
      </c>
      <c r="C11" s="27">
        <f t="shared" si="0"/>
        <v>6.3444108761329304E-2</v>
      </c>
    </row>
    <row r="12" spans="1:4" x14ac:dyDescent="0.35">
      <c r="A12" s="28" t="s">
        <v>27</v>
      </c>
      <c r="B12" s="29">
        <v>3</v>
      </c>
      <c r="C12" s="33">
        <f t="shared" si="0"/>
        <v>9.0634441087613302E-3</v>
      </c>
    </row>
    <row r="15" spans="1:4" ht="29" x14ac:dyDescent="0.35">
      <c r="A15" s="22" t="s">
        <v>31</v>
      </c>
      <c r="B15" s="23" t="s">
        <v>220</v>
      </c>
      <c r="C15" s="23" t="s">
        <v>221</v>
      </c>
      <c r="D15" s="24" t="s">
        <v>213</v>
      </c>
    </row>
    <row r="16" spans="1:4" x14ac:dyDescent="0.35">
      <c r="A16" s="25" t="s">
        <v>34</v>
      </c>
      <c r="B16">
        <v>22</v>
      </c>
      <c r="C16" s="26">
        <f t="shared" ref="C16:C37" si="1">B16/37</f>
        <v>0.59459459459459463</v>
      </c>
      <c r="D16" s="27">
        <v>0.45317220543806647</v>
      </c>
    </row>
    <row r="17" spans="1:4" x14ac:dyDescent="0.35">
      <c r="A17" s="25" t="s">
        <v>37</v>
      </c>
      <c r="B17">
        <v>14</v>
      </c>
      <c r="C17" s="26">
        <f t="shared" si="1"/>
        <v>0.3783783783783784</v>
      </c>
      <c r="D17" s="27">
        <v>0.23564954682779457</v>
      </c>
    </row>
    <row r="18" spans="1:4" x14ac:dyDescent="0.35">
      <c r="A18" s="25" t="s">
        <v>35</v>
      </c>
      <c r="B18">
        <v>13</v>
      </c>
      <c r="C18" s="26">
        <f t="shared" si="1"/>
        <v>0.35135135135135137</v>
      </c>
      <c r="D18" s="27">
        <v>0.39274924471299094</v>
      </c>
    </row>
    <row r="19" spans="1:4" x14ac:dyDescent="0.35">
      <c r="A19" s="25" t="s">
        <v>36</v>
      </c>
      <c r="B19">
        <v>12</v>
      </c>
      <c r="C19" s="26">
        <f t="shared" si="1"/>
        <v>0.32432432432432434</v>
      </c>
      <c r="D19" s="27">
        <v>0.25377643504531722</v>
      </c>
    </row>
    <row r="20" spans="1:4" x14ac:dyDescent="0.35">
      <c r="A20" s="25" t="s">
        <v>38</v>
      </c>
      <c r="B20">
        <v>10</v>
      </c>
      <c r="C20" s="26">
        <f t="shared" si="1"/>
        <v>0.27027027027027029</v>
      </c>
      <c r="D20" s="27">
        <v>0.19939577039274925</v>
      </c>
    </row>
    <row r="21" spans="1:4" x14ac:dyDescent="0.35">
      <c r="A21" s="25" t="s">
        <v>41</v>
      </c>
      <c r="B21">
        <v>6</v>
      </c>
      <c r="C21" s="26">
        <f t="shared" si="1"/>
        <v>0.16216216216216217</v>
      </c>
      <c r="D21" s="27">
        <v>0.15105740181268881</v>
      </c>
    </row>
    <row r="22" spans="1:4" x14ac:dyDescent="0.35">
      <c r="A22" s="25" t="s">
        <v>40</v>
      </c>
      <c r="B22">
        <v>3</v>
      </c>
      <c r="C22" s="26">
        <f t="shared" si="1"/>
        <v>8.1081081081081086E-2</v>
      </c>
      <c r="D22" s="27">
        <v>0.16012084592145015</v>
      </c>
    </row>
    <row r="23" spans="1:4" x14ac:dyDescent="0.35">
      <c r="A23" s="25" t="s">
        <v>42</v>
      </c>
      <c r="B23">
        <v>3</v>
      </c>
      <c r="C23" s="26">
        <f t="shared" si="1"/>
        <v>8.1081081081081086E-2</v>
      </c>
      <c r="D23" s="27">
        <v>0.13293051359516617</v>
      </c>
    </row>
    <row r="24" spans="1:4" x14ac:dyDescent="0.35">
      <c r="A24" s="25" t="s">
        <v>195</v>
      </c>
      <c r="B24">
        <v>3</v>
      </c>
      <c r="C24" s="26">
        <f t="shared" si="1"/>
        <v>8.1081081081081086E-2</v>
      </c>
      <c r="D24" s="27">
        <f>18/331</f>
        <v>5.4380664652567974E-2</v>
      </c>
    </row>
    <row r="25" spans="1:4" x14ac:dyDescent="0.35">
      <c r="A25" s="25" t="s">
        <v>39</v>
      </c>
      <c r="B25">
        <v>2</v>
      </c>
      <c r="C25" s="26">
        <f t="shared" si="1"/>
        <v>5.4054054054054057E-2</v>
      </c>
      <c r="D25" s="27">
        <v>0.16012084592145015</v>
      </c>
    </row>
    <row r="26" spans="1:4" x14ac:dyDescent="0.35">
      <c r="A26" s="25" t="s">
        <v>98</v>
      </c>
      <c r="B26">
        <v>2</v>
      </c>
      <c r="C26" s="26">
        <f t="shared" si="1"/>
        <v>5.4054054054054057E-2</v>
      </c>
      <c r="D26" s="27">
        <v>3.9274924471299093E-2</v>
      </c>
    </row>
    <row r="27" spans="1:4" x14ac:dyDescent="0.35">
      <c r="A27" s="25" t="s">
        <v>129</v>
      </c>
      <c r="B27">
        <v>2</v>
      </c>
      <c r="C27" s="26">
        <f t="shared" si="1"/>
        <v>5.4054054054054057E-2</v>
      </c>
      <c r="D27" s="27">
        <v>3.3000000000000002E-2</v>
      </c>
    </row>
    <row r="28" spans="1:4" x14ac:dyDescent="0.35">
      <c r="A28" s="25" t="s">
        <v>48</v>
      </c>
      <c r="B28">
        <v>1</v>
      </c>
      <c r="C28" s="26">
        <f t="shared" si="1"/>
        <v>2.7027027027027029E-2</v>
      </c>
      <c r="D28" s="27">
        <v>6.3444108761329304E-2</v>
      </c>
    </row>
    <row r="29" spans="1:4" x14ac:dyDescent="0.35">
      <c r="A29" s="25" t="s">
        <v>45</v>
      </c>
      <c r="B29">
        <v>1</v>
      </c>
      <c r="C29" s="26">
        <f t="shared" si="1"/>
        <v>2.7027027027027029E-2</v>
      </c>
      <c r="D29" s="27">
        <f>15/331</f>
        <v>4.5317220543806644E-2</v>
      </c>
    </row>
    <row r="30" spans="1:4" x14ac:dyDescent="0.35">
      <c r="A30" s="25" t="s">
        <v>190</v>
      </c>
      <c r="B30">
        <v>1</v>
      </c>
      <c r="C30" s="26">
        <f t="shared" si="1"/>
        <v>2.7027027027027029E-2</v>
      </c>
      <c r="D30" s="27">
        <f>3/331</f>
        <v>9.0634441087613302E-3</v>
      </c>
    </row>
    <row r="31" spans="1:4" x14ac:dyDescent="0.35">
      <c r="A31" s="25" t="s">
        <v>96</v>
      </c>
      <c r="B31">
        <v>1</v>
      </c>
      <c r="C31" s="26">
        <f t="shared" si="1"/>
        <v>2.7027027027027029E-2</v>
      </c>
      <c r="D31" s="58">
        <v>0.24299999999999999</v>
      </c>
    </row>
    <row r="32" spans="1:4" x14ac:dyDescent="0.35">
      <c r="A32" s="25" t="s">
        <v>43</v>
      </c>
      <c r="B32">
        <v>0</v>
      </c>
      <c r="C32" s="26">
        <f t="shared" si="1"/>
        <v>0</v>
      </c>
      <c r="D32" s="27">
        <v>0.12386706948640483</v>
      </c>
    </row>
    <row r="33" spans="1:4" x14ac:dyDescent="0.35">
      <c r="A33" s="25" t="s">
        <v>46</v>
      </c>
      <c r="B33">
        <v>0</v>
      </c>
      <c r="C33" s="26">
        <f t="shared" si="1"/>
        <v>0</v>
      </c>
      <c r="D33" s="27">
        <v>2.1148036253776436E-2</v>
      </c>
    </row>
    <row r="34" spans="1:4" x14ac:dyDescent="0.35">
      <c r="A34" s="25" t="s">
        <v>95</v>
      </c>
      <c r="B34">
        <v>0</v>
      </c>
      <c r="C34" s="26">
        <f t="shared" si="1"/>
        <v>0</v>
      </c>
      <c r="D34" s="27">
        <v>1.2084592145015106E-2</v>
      </c>
    </row>
    <row r="35" spans="1:4" x14ac:dyDescent="0.35">
      <c r="A35" s="25" t="s">
        <v>44</v>
      </c>
      <c r="B35">
        <v>0</v>
      </c>
      <c r="C35" s="26">
        <f t="shared" si="1"/>
        <v>0</v>
      </c>
      <c r="D35" s="27">
        <f>10/331</f>
        <v>3.0211480362537766E-2</v>
      </c>
    </row>
    <row r="36" spans="1:4" x14ac:dyDescent="0.35">
      <c r="A36" s="25" t="s">
        <v>280</v>
      </c>
      <c r="B36">
        <v>0</v>
      </c>
      <c r="C36" s="26">
        <f t="shared" si="1"/>
        <v>0</v>
      </c>
      <c r="D36" s="27">
        <f>6/331</f>
        <v>1.812688821752266E-2</v>
      </c>
    </row>
    <row r="37" spans="1:4" x14ac:dyDescent="0.35">
      <c r="A37" s="28" t="s">
        <v>97</v>
      </c>
      <c r="B37" s="29">
        <v>0</v>
      </c>
      <c r="C37" s="30">
        <f t="shared" si="1"/>
        <v>0</v>
      </c>
      <c r="D37" s="33">
        <f>7/331</f>
        <v>2.1148036253776436E-2</v>
      </c>
    </row>
    <row r="39" spans="1:4" ht="29" x14ac:dyDescent="0.35">
      <c r="A39" s="22" t="s">
        <v>83</v>
      </c>
      <c r="B39" s="23" t="s">
        <v>220</v>
      </c>
      <c r="C39" s="23" t="s">
        <v>221</v>
      </c>
      <c r="D39" s="24" t="s">
        <v>213</v>
      </c>
    </row>
    <row r="40" spans="1:4" x14ac:dyDescent="0.35">
      <c r="A40" s="25" t="s">
        <v>82</v>
      </c>
      <c r="B40">
        <v>21</v>
      </c>
      <c r="C40" s="39">
        <f t="shared" ref="C40:C57" si="2">B40/37</f>
        <v>0.56756756756756754</v>
      </c>
      <c r="D40" s="40">
        <v>0.47432024169184289</v>
      </c>
    </row>
    <row r="41" spans="1:4" x14ac:dyDescent="0.35">
      <c r="A41" s="25" t="s">
        <v>81</v>
      </c>
      <c r="B41">
        <v>12</v>
      </c>
      <c r="C41" s="39">
        <f t="shared" si="2"/>
        <v>0.32432432432432434</v>
      </c>
      <c r="D41" s="40">
        <v>0.41691842900302117</v>
      </c>
    </row>
    <row r="42" spans="1:4" x14ac:dyDescent="0.35">
      <c r="A42" s="25" t="s">
        <v>125</v>
      </c>
      <c r="B42">
        <v>6</v>
      </c>
      <c r="C42" s="39">
        <f t="shared" si="2"/>
        <v>0.16216216216216217</v>
      </c>
      <c r="D42" s="40">
        <v>8.1570996978851965E-2</v>
      </c>
    </row>
    <row r="43" spans="1:4" x14ac:dyDescent="0.35">
      <c r="A43" s="25" t="s">
        <v>122</v>
      </c>
      <c r="B43">
        <v>6</v>
      </c>
      <c r="C43" s="39">
        <f t="shared" si="2"/>
        <v>0.16216216216216217</v>
      </c>
      <c r="D43" s="40">
        <v>0.30211480362537763</v>
      </c>
    </row>
    <row r="44" spans="1:4" x14ac:dyDescent="0.35">
      <c r="A44" s="25" t="s">
        <v>79</v>
      </c>
      <c r="B44">
        <v>4</v>
      </c>
      <c r="C44" s="39">
        <f t="shared" si="2"/>
        <v>0.10810810810810811</v>
      </c>
      <c r="D44" s="40">
        <v>0.15709969788519637</v>
      </c>
    </row>
    <row r="45" spans="1:4" x14ac:dyDescent="0.35">
      <c r="A45" s="25" t="s">
        <v>80</v>
      </c>
      <c r="B45">
        <v>4</v>
      </c>
      <c r="C45" s="39">
        <f t="shared" si="2"/>
        <v>0.10810810810810811</v>
      </c>
      <c r="D45" s="40">
        <v>0.24471299093655588</v>
      </c>
    </row>
    <row r="46" spans="1:4" x14ac:dyDescent="0.35">
      <c r="A46" s="25" t="s">
        <v>123</v>
      </c>
      <c r="B46">
        <v>3</v>
      </c>
      <c r="C46" s="39">
        <f t="shared" si="2"/>
        <v>8.1081081081081086E-2</v>
      </c>
      <c r="D46" s="40">
        <v>0.17522658610271905</v>
      </c>
    </row>
    <row r="47" spans="1:4" x14ac:dyDescent="0.35">
      <c r="A47" s="25" t="s">
        <v>74</v>
      </c>
      <c r="B47">
        <v>2</v>
      </c>
      <c r="C47" s="39">
        <f t="shared" si="2"/>
        <v>5.4054054054054057E-2</v>
      </c>
      <c r="D47" s="40">
        <v>6.0422960725075529E-3</v>
      </c>
    </row>
    <row r="48" spans="1:4" x14ac:dyDescent="0.35">
      <c r="A48" s="25" t="s">
        <v>127</v>
      </c>
      <c r="B48">
        <v>2</v>
      </c>
      <c r="C48" s="39">
        <f t="shared" si="2"/>
        <v>5.4054054054054057E-2</v>
      </c>
      <c r="D48" s="40">
        <v>3.0211480362537766E-2</v>
      </c>
    </row>
    <row r="49" spans="1:4" x14ac:dyDescent="0.35">
      <c r="A49" s="25" t="s">
        <v>78</v>
      </c>
      <c r="B49">
        <v>2</v>
      </c>
      <c r="C49" s="39">
        <f t="shared" si="2"/>
        <v>5.4054054054054057E-2</v>
      </c>
      <c r="D49" s="40">
        <v>8.4592145015105744E-2</v>
      </c>
    </row>
    <row r="50" spans="1:4" x14ac:dyDescent="0.35">
      <c r="A50" s="25" t="s">
        <v>126</v>
      </c>
      <c r="B50">
        <v>1</v>
      </c>
      <c r="C50" s="39">
        <f t="shared" si="2"/>
        <v>2.7027027027027029E-2</v>
      </c>
      <c r="D50" s="40">
        <v>6.6465256797583083E-2</v>
      </c>
    </row>
    <row r="51" spans="1:4" x14ac:dyDescent="0.35">
      <c r="A51" s="25" t="s">
        <v>77</v>
      </c>
      <c r="B51">
        <v>1</v>
      </c>
      <c r="C51" s="39">
        <f t="shared" si="2"/>
        <v>2.7027027027027029E-2</v>
      </c>
      <c r="D51" s="40">
        <v>7.5528700906344406E-2</v>
      </c>
    </row>
    <row r="52" spans="1:4" x14ac:dyDescent="0.35">
      <c r="A52" s="25" t="s">
        <v>124</v>
      </c>
      <c r="B52">
        <v>1</v>
      </c>
      <c r="C52" s="39">
        <f t="shared" si="2"/>
        <v>2.7027027027027029E-2</v>
      </c>
      <c r="D52" s="40">
        <v>0.14803625377643503</v>
      </c>
    </row>
    <row r="53" spans="1:4" x14ac:dyDescent="0.35">
      <c r="A53" s="25" t="s">
        <v>86</v>
      </c>
      <c r="B53">
        <v>1</v>
      </c>
      <c r="C53" s="39">
        <f t="shared" si="2"/>
        <v>2.7027027027027029E-2</v>
      </c>
      <c r="D53" s="40">
        <v>0.2175226586102719</v>
      </c>
    </row>
    <row r="54" spans="1:4" x14ac:dyDescent="0.35">
      <c r="A54" s="25" t="s">
        <v>73</v>
      </c>
      <c r="B54">
        <v>0</v>
      </c>
      <c r="C54" s="39">
        <f t="shared" si="2"/>
        <v>0</v>
      </c>
      <c r="D54" s="40">
        <f>2/331</f>
        <v>6.0422960725075529E-3</v>
      </c>
    </row>
    <row r="55" spans="1:4" x14ac:dyDescent="0.35">
      <c r="A55" s="25" t="s">
        <v>75</v>
      </c>
      <c r="B55">
        <v>0</v>
      </c>
      <c r="C55" s="39">
        <f t="shared" si="2"/>
        <v>0</v>
      </c>
      <c r="D55" s="40">
        <f>2/331</f>
        <v>6.0422960725075529E-3</v>
      </c>
    </row>
    <row r="56" spans="1:4" x14ac:dyDescent="0.35">
      <c r="A56" s="25" t="s">
        <v>76</v>
      </c>
      <c r="B56">
        <v>0</v>
      </c>
      <c r="C56" s="39">
        <f t="shared" si="2"/>
        <v>0</v>
      </c>
      <c r="D56" s="40">
        <f>3/331</f>
        <v>9.0634441087613302E-3</v>
      </c>
    </row>
    <row r="57" spans="1:4" x14ac:dyDescent="0.35">
      <c r="A57" s="28" t="s">
        <v>128</v>
      </c>
      <c r="B57" s="29">
        <v>0</v>
      </c>
      <c r="C57" s="42">
        <f t="shared" si="2"/>
        <v>0</v>
      </c>
      <c r="D57" s="41">
        <f>4/331</f>
        <v>1.2084592145015106E-2</v>
      </c>
    </row>
    <row r="59" spans="1:4" ht="29" x14ac:dyDescent="0.35">
      <c r="A59" s="34" t="s">
        <v>115</v>
      </c>
      <c r="B59" s="23" t="s">
        <v>220</v>
      </c>
      <c r="C59" s="23" t="s">
        <v>221</v>
      </c>
      <c r="D59" s="24" t="s">
        <v>213</v>
      </c>
    </row>
    <row r="60" spans="1:4" x14ac:dyDescent="0.35">
      <c r="A60" s="25" t="s">
        <v>116</v>
      </c>
      <c r="B60" s="49">
        <v>2</v>
      </c>
      <c r="C60" s="99">
        <f>B60/37</f>
        <v>5.4054054054054057E-2</v>
      </c>
      <c r="D60" s="100">
        <v>8.1081081081081086E-2</v>
      </c>
    </row>
    <row r="61" spans="1:4" x14ac:dyDescent="0.35">
      <c r="A61" s="25" t="s">
        <v>117</v>
      </c>
      <c r="B61">
        <v>2</v>
      </c>
      <c r="C61" s="39">
        <f>B61/37</f>
        <v>5.4054054054054057E-2</v>
      </c>
      <c r="D61" s="40">
        <v>9.0090090090090086E-2</v>
      </c>
    </row>
    <row r="62" spans="1:4" x14ac:dyDescent="0.35">
      <c r="A62" s="25" t="s">
        <v>118</v>
      </c>
      <c r="B62">
        <v>7</v>
      </c>
      <c r="C62" s="39">
        <f>B62/37</f>
        <v>0.1891891891891892</v>
      </c>
      <c r="D62" s="40">
        <v>0.38438438438438438</v>
      </c>
    </row>
    <row r="63" spans="1:4" x14ac:dyDescent="0.35">
      <c r="A63" s="28" t="s">
        <v>119</v>
      </c>
      <c r="B63" s="29">
        <v>26</v>
      </c>
      <c r="C63" s="42">
        <f>B63/37</f>
        <v>0.70270270270270274</v>
      </c>
      <c r="D63" s="41">
        <v>0.44144144144144143</v>
      </c>
    </row>
    <row r="65" spans="1:4" ht="43.5" x14ac:dyDescent="0.35">
      <c r="A65" s="34" t="s">
        <v>145</v>
      </c>
      <c r="B65" s="23" t="s">
        <v>220</v>
      </c>
      <c r="C65" s="23" t="s">
        <v>221</v>
      </c>
      <c r="D65" s="24" t="s">
        <v>213</v>
      </c>
    </row>
    <row r="66" spans="1:4" x14ac:dyDescent="0.35">
      <c r="A66" s="25" t="s">
        <v>143</v>
      </c>
      <c r="B66">
        <v>14</v>
      </c>
      <c r="C66" s="39">
        <f>B66/37</f>
        <v>0.3783783783783784</v>
      </c>
      <c r="D66" s="40">
        <v>0.26586102719033233</v>
      </c>
    </row>
    <row r="67" spans="1:4" x14ac:dyDescent="0.35">
      <c r="A67" s="28" t="s">
        <v>144</v>
      </c>
      <c r="B67" s="29">
        <v>23</v>
      </c>
      <c r="C67" s="42">
        <f>B67/37</f>
        <v>0.6216216216216216</v>
      </c>
      <c r="D67" s="41">
        <v>0.73413897280966767</v>
      </c>
    </row>
    <row r="69" spans="1:4" ht="29" x14ac:dyDescent="0.35">
      <c r="A69" s="34" t="s">
        <v>105</v>
      </c>
      <c r="B69" s="23" t="s">
        <v>220</v>
      </c>
      <c r="C69" s="23" t="s">
        <v>221</v>
      </c>
      <c r="D69" s="24" t="s">
        <v>213</v>
      </c>
    </row>
    <row r="70" spans="1:4" x14ac:dyDescent="0.35">
      <c r="A70" s="25" t="s">
        <v>107</v>
      </c>
      <c r="B70">
        <v>2</v>
      </c>
      <c r="C70" s="39">
        <f t="shared" ref="C70:C77" si="3">B70/37</f>
        <v>5.4054054054054057E-2</v>
      </c>
      <c r="D70" s="40">
        <v>6.3444108761329304E-2</v>
      </c>
    </row>
    <row r="71" spans="1:4" x14ac:dyDescent="0.35">
      <c r="A71" s="25" t="s">
        <v>108</v>
      </c>
      <c r="B71">
        <v>0</v>
      </c>
      <c r="C71" s="39">
        <f t="shared" si="3"/>
        <v>0</v>
      </c>
      <c r="D71" s="40">
        <v>3.3232628398791542E-2</v>
      </c>
    </row>
    <row r="72" spans="1:4" x14ac:dyDescent="0.35">
      <c r="A72" s="25" t="s">
        <v>109</v>
      </c>
      <c r="B72">
        <v>3</v>
      </c>
      <c r="C72" s="39">
        <f t="shared" si="3"/>
        <v>8.1081081081081086E-2</v>
      </c>
      <c r="D72" s="40">
        <v>3.9274924471299093E-2</v>
      </c>
    </row>
    <row r="73" spans="1:4" x14ac:dyDescent="0.35">
      <c r="A73" s="25" t="s">
        <v>110</v>
      </c>
      <c r="B73">
        <v>1</v>
      </c>
      <c r="C73" s="39">
        <f t="shared" si="3"/>
        <v>2.7027027027027029E-2</v>
      </c>
      <c r="D73" s="40">
        <v>0.11480362537764351</v>
      </c>
    </row>
    <row r="74" spans="1:4" x14ac:dyDescent="0.35">
      <c r="A74" s="25" t="s">
        <v>111</v>
      </c>
      <c r="B74">
        <v>5</v>
      </c>
      <c r="C74" s="39">
        <f t="shared" si="3"/>
        <v>0.13513513513513514</v>
      </c>
      <c r="D74" s="40">
        <v>0.18731117824773413</v>
      </c>
    </row>
    <row r="75" spans="1:4" x14ac:dyDescent="0.35">
      <c r="A75" s="25" t="s">
        <v>112</v>
      </c>
      <c r="B75">
        <v>4</v>
      </c>
      <c r="C75" s="39">
        <f t="shared" si="3"/>
        <v>0.10810810810810811</v>
      </c>
      <c r="D75" s="40">
        <v>0.10574018126888217</v>
      </c>
    </row>
    <row r="76" spans="1:4" x14ac:dyDescent="0.35">
      <c r="A76" s="25" t="s">
        <v>113</v>
      </c>
      <c r="B76">
        <v>21</v>
      </c>
      <c r="C76" s="39">
        <f t="shared" si="3"/>
        <v>0.56756756756756754</v>
      </c>
      <c r="D76" s="40">
        <v>0.39577039274924469</v>
      </c>
    </row>
    <row r="77" spans="1:4" x14ac:dyDescent="0.35">
      <c r="A77" s="28" t="s">
        <v>114</v>
      </c>
      <c r="B77" s="29">
        <v>1</v>
      </c>
      <c r="C77" s="42">
        <f t="shared" si="3"/>
        <v>2.7027027027027029E-2</v>
      </c>
      <c r="D77" s="41">
        <v>6.0422960725075532E-2</v>
      </c>
    </row>
    <row r="79" spans="1:4" ht="29" x14ac:dyDescent="0.35">
      <c r="A79" s="34" t="s">
        <v>154</v>
      </c>
      <c r="B79" s="23" t="s">
        <v>220</v>
      </c>
      <c r="C79" s="23" t="s">
        <v>221</v>
      </c>
      <c r="D79" s="24" t="s">
        <v>213</v>
      </c>
    </row>
    <row r="80" spans="1:4" x14ac:dyDescent="0.35">
      <c r="A80" s="25" t="s">
        <v>155</v>
      </c>
      <c r="B80">
        <v>27</v>
      </c>
      <c r="C80" s="39">
        <f t="shared" ref="C80:C87" si="4">B80/37</f>
        <v>0.72972972972972971</v>
      </c>
      <c r="D80" s="40">
        <v>0.66767371601208458</v>
      </c>
    </row>
    <row r="81" spans="1:4" x14ac:dyDescent="0.35">
      <c r="A81" s="25" t="s">
        <v>156</v>
      </c>
      <c r="B81">
        <v>11</v>
      </c>
      <c r="C81" s="39">
        <f t="shared" si="4"/>
        <v>0.29729729729729731</v>
      </c>
      <c r="D81" s="40">
        <v>0.25377643504531722</v>
      </c>
    </row>
    <row r="82" spans="1:4" x14ac:dyDescent="0.35">
      <c r="A82" s="25" t="s">
        <v>157</v>
      </c>
      <c r="B82">
        <v>8</v>
      </c>
      <c r="C82" s="39">
        <f t="shared" si="4"/>
        <v>0.21621621621621623</v>
      </c>
      <c r="D82" s="40">
        <v>0.15105740181268881</v>
      </c>
    </row>
    <row r="83" spans="1:4" x14ac:dyDescent="0.35">
      <c r="A83" s="25" t="s">
        <v>159</v>
      </c>
      <c r="B83">
        <v>7</v>
      </c>
      <c r="C83" s="39">
        <f t="shared" si="4"/>
        <v>0.1891891891891892</v>
      </c>
      <c r="D83" s="40">
        <v>0.12688821752265861</v>
      </c>
    </row>
    <row r="84" spans="1:4" x14ac:dyDescent="0.35">
      <c r="A84" s="25" t="s">
        <v>160</v>
      </c>
      <c r="B84">
        <v>2</v>
      </c>
      <c r="C84" s="39">
        <f t="shared" si="4"/>
        <v>5.4054054054054057E-2</v>
      </c>
      <c r="D84" s="40">
        <v>0.10574018126888217</v>
      </c>
    </row>
    <row r="85" spans="1:4" x14ac:dyDescent="0.35">
      <c r="A85" s="25" t="s">
        <v>158</v>
      </c>
      <c r="B85">
        <v>1</v>
      </c>
      <c r="C85" s="39">
        <f t="shared" si="4"/>
        <v>2.7027027027027029E-2</v>
      </c>
      <c r="D85" s="40">
        <v>0.14501510574018128</v>
      </c>
    </row>
    <row r="86" spans="1:4" x14ac:dyDescent="0.35">
      <c r="A86" s="25" t="s">
        <v>161</v>
      </c>
      <c r="B86">
        <v>1</v>
      </c>
      <c r="C86" s="39">
        <f t="shared" si="4"/>
        <v>2.7027027027027029E-2</v>
      </c>
      <c r="D86" s="40">
        <v>7.8549848942598186E-2</v>
      </c>
    </row>
    <row r="87" spans="1:4" x14ac:dyDescent="0.35">
      <c r="A87" s="28" t="s">
        <v>162</v>
      </c>
      <c r="B87" s="29">
        <v>0</v>
      </c>
      <c r="C87" s="42">
        <f t="shared" si="4"/>
        <v>0</v>
      </c>
      <c r="D87" s="41">
        <v>1.2084592145015106E-2</v>
      </c>
    </row>
    <row r="89" spans="1:4" ht="43.5" x14ac:dyDescent="0.35">
      <c r="A89" s="34" t="s">
        <v>146</v>
      </c>
      <c r="B89" s="23" t="s">
        <v>220</v>
      </c>
      <c r="C89" s="23" t="s">
        <v>221</v>
      </c>
      <c r="D89" s="24" t="s">
        <v>213</v>
      </c>
    </row>
    <row r="90" spans="1:4" x14ac:dyDescent="0.35">
      <c r="A90" s="25" t="s">
        <v>147</v>
      </c>
      <c r="B90">
        <v>27</v>
      </c>
      <c r="C90" s="39">
        <f>B90/37</f>
        <v>0.72972972972972971</v>
      </c>
      <c r="D90" s="40">
        <v>0.83383685800604235</v>
      </c>
    </row>
    <row r="91" spans="1:4" x14ac:dyDescent="0.35">
      <c r="A91" s="25" t="s">
        <v>148</v>
      </c>
      <c r="B91">
        <v>18</v>
      </c>
      <c r="C91" s="39">
        <f>B91/37</f>
        <v>0.48648648648648651</v>
      </c>
      <c r="D91" s="40">
        <v>0.38368580060422963</v>
      </c>
    </row>
    <row r="92" spans="1:4" x14ac:dyDescent="0.35">
      <c r="A92" s="28" t="s">
        <v>89</v>
      </c>
      <c r="B92" s="29">
        <v>5</v>
      </c>
      <c r="C92" s="42">
        <f>B92/37</f>
        <v>0.13513513513513514</v>
      </c>
      <c r="D92" s="41">
        <v>0.12084592145015106</v>
      </c>
    </row>
    <row r="94" spans="1:4" ht="87" x14ac:dyDescent="0.35">
      <c r="A94" s="34" t="s">
        <v>149</v>
      </c>
      <c r="B94" s="23" t="s">
        <v>220</v>
      </c>
      <c r="C94" s="23" t="s">
        <v>221</v>
      </c>
      <c r="D94" s="24" t="s">
        <v>213</v>
      </c>
    </row>
    <row r="95" spans="1:4" x14ac:dyDescent="0.35">
      <c r="A95" s="25" t="s">
        <v>150</v>
      </c>
      <c r="B95">
        <v>19</v>
      </c>
      <c r="C95" s="39">
        <f>B95/37</f>
        <v>0.51351351351351349</v>
      </c>
      <c r="D95" s="40">
        <v>0.45015105740181272</v>
      </c>
    </row>
    <row r="96" spans="1:4" x14ac:dyDescent="0.35">
      <c r="A96" s="25" t="s">
        <v>152</v>
      </c>
      <c r="B96">
        <v>13</v>
      </c>
      <c r="C96" s="39">
        <f>B96/37</f>
        <v>0.35135135135135137</v>
      </c>
      <c r="D96" s="40">
        <v>0.52567975830815705</v>
      </c>
    </row>
    <row r="97" spans="1:4" x14ac:dyDescent="0.35">
      <c r="A97" s="25" t="s">
        <v>151</v>
      </c>
      <c r="B97">
        <v>21</v>
      </c>
      <c r="C97" s="39">
        <f>B97/37</f>
        <v>0.56756756756756754</v>
      </c>
      <c r="D97" s="40">
        <v>0.58308157099697888</v>
      </c>
    </row>
    <row r="98" spans="1:4" x14ac:dyDescent="0.35">
      <c r="A98" s="28" t="s">
        <v>153</v>
      </c>
      <c r="B98" s="29">
        <v>11</v>
      </c>
      <c r="C98" s="42">
        <f>B98/37</f>
        <v>0.29729729729729731</v>
      </c>
      <c r="D98" s="41">
        <v>0.38368580060422963</v>
      </c>
    </row>
    <row r="100" spans="1:4" ht="43.5" x14ac:dyDescent="0.35">
      <c r="A100" s="34" t="s">
        <v>163</v>
      </c>
      <c r="B100" s="23" t="s">
        <v>220</v>
      </c>
      <c r="C100" s="23" t="s">
        <v>221</v>
      </c>
      <c r="D100" s="24" t="s">
        <v>213</v>
      </c>
    </row>
    <row r="101" spans="1:4" x14ac:dyDescent="0.35">
      <c r="A101" s="25" t="s">
        <v>167</v>
      </c>
      <c r="B101">
        <v>15</v>
      </c>
      <c r="C101" s="39">
        <f t="shared" ref="C101:C114" si="5">B101/37</f>
        <v>0.40540540540540543</v>
      </c>
      <c r="D101" s="40">
        <v>0.22658610271903323</v>
      </c>
    </row>
    <row r="102" spans="1:4" x14ac:dyDescent="0.35">
      <c r="A102" s="25" t="s">
        <v>164</v>
      </c>
      <c r="B102">
        <v>14</v>
      </c>
      <c r="C102" s="39">
        <f t="shared" si="5"/>
        <v>0.3783783783783784</v>
      </c>
      <c r="D102" s="40">
        <v>0.39274924471299094</v>
      </c>
    </row>
    <row r="103" spans="1:4" x14ac:dyDescent="0.35">
      <c r="A103" s="25" t="s">
        <v>165</v>
      </c>
      <c r="B103">
        <v>12</v>
      </c>
      <c r="C103" s="39">
        <f t="shared" si="5"/>
        <v>0.32432432432432434</v>
      </c>
      <c r="D103" s="40">
        <v>0.38670694864048338</v>
      </c>
    </row>
    <row r="104" spans="1:4" x14ac:dyDescent="0.35">
      <c r="A104" s="25" t="s">
        <v>168</v>
      </c>
      <c r="B104">
        <v>12</v>
      </c>
      <c r="C104" s="39">
        <f t="shared" si="5"/>
        <v>0.32432432432432434</v>
      </c>
      <c r="D104" s="40">
        <v>0.2175226586102719</v>
      </c>
    </row>
    <row r="105" spans="1:4" x14ac:dyDescent="0.35">
      <c r="A105" s="25" t="s">
        <v>171</v>
      </c>
      <c r="B105">
        <v>8</v>
      </c>
      <c r="C105" s="39">
        <f t="shared" si="5"/>
        <v>0.21621621621621623</v>
      </c>
      <c r="D105" s="40">
        <v>0.15105740181268881</v>
      </c>
    </row>
    <row r="106" spans="1:4" x14ac:dyDescent="0.35">
      <c r="A106" s="25" t="s">
        <v>166</v>
      </c>
      <c r="B106">
        <v>6</v>
      </c>
      <c r="C106" s="39">
        <f t="shared" si="5"/>
        <v>0.16216216216216217</v>
      </c>
      <c r="D106" s="40">
        <v>0.23262839879154079</v>
      </c>
    </row>
    <row r="107" spans="1:4" x14ac:dyDescent="0.35">
      <c r="A107" s="25" t="s">
        <v>169</v>
      </c>
      <c r="B107">
        <v>5</v>
      </c>
      <c r="C107" s="39">
        <f t="shared" si="5"/>
        <v>0.13513513513513514</v>
      </c>
      <c r="D107" s="40">
        <v>0.19637462235649547</v>
      </c>
    </row>
    <row r="108" spans="1:4" x14ac:dyDescent="0.35">
      <c r="A108" s="25" t="s">
        <v>170</v>
      </c>
      <c r="B108">
        <v>4</v>
      </c>
      <c r="C108" s="39">
        <f t="shared" si="5"/>
        <v>0.10810810810810811</v>
      </c>
      <c r="D108" s="40">
        <v>0.16314199395770393</v>
      </c>
    </row>
    <row r="109" spans="1:4" x14ac:dyDescent="0.35">
      <c r="A109" s="25" t="s">
        <v>173</v>
      </c>
      <c r="B109">
        <v>2</v>
      </c>
      <c r="C109" s="39">
        <f t="shared" si="5"/>
        <v>5.4054054054054057E-2</v>
      </c>
      <c r="D109" s="40">
        <v>5.1359516616314202E-2</v>
      </c>
    </row>
    <row r="110" spans="1:4" x14ac:dyDescent="0.35">
      <c r="A110" s="25" t="s">
        <v>174</v>
      </c>
      <c r="B110">
        <v>1</v>
      </c>
      <c r="C110" s="39">
        <f t="shared" si="5"/>
        <v>2.7027027027027029E-2</v>
      </c>
      <c r="D110" s="40">
        <v>2.4169184290030211E-2</v>
      </c>
    </row>
    <row r="111" spans="1:4" x14ac:dyDescent="0.35">
      <c r="A111" s="25" t="s">
        <v>172</v>
      </c>
      <c r="B111">
        <v>0</v>
      </c>
      <c r="C111" s="39">
        <f t="shared" si="5"/>
        <v>0</v>
      </c>
      <c r="D111" s="40">
        <v>5.7401812688821753E-2</v>
      </c>
    </row>
    <row r="112" spans="1:4" x14ac:dyDescent="0.35">
      <c r="A112" s="25" t="s">
        <v>175</v>
      </c>
      <c r="B112">
        <v>0</v>
      </c>
      <c r="C112" s="39">
        <f t="shared" si="5"/>
        <v>0</v>
      </c>
      <c r="D112" s="40">
        <v>1.812688821752266E-2</v>
      </c>
    </row>
    <row r="113" spans="1:4" x14ac:dyDescent="0.35">
      <c r="A113" s="25" t="s">
        <v>176</v>
      </c>
      <c r="B113">
        <v>0</v>
      </c>
      <c r="C113" s="39">
        <f t="shared" si="5"/>
        <v>0</v>
      </c>
      <c r="D113" s="40">
        <v>9.0634441087613302E-3</v>
      </c>
    </row>
    <row r="114" spans="1:4" x14ac:dyDescent="0.35">
      <c r="A114" s="28" t="s">
        <v>177</v>
      </c>
      <c r="B114" s="29">
        <v>0</v>
      </c>
      <c r="C114" s="42">
        <f t="shared" si="5"/>
        <v>0</v>
      </c>
      <c r="D114" s="41">
        <v>6.0422960725075529E-3</v>
      </c>
    </row>
    <row r="116" spans="1:4" ht="29" x14ac:dyDescent="0.35">
      <c r="A116" s="34" t="s">
        <v>94</v>
      </c>
      <c r="B116" s="23" t="s">
        <v>220</v>
      </c>
      <c r="C116" s="23" t="s">
        <v>221</v>
      </c>
      <c r="D116" s="24" t="s">
        <v>213</v>
      </c>
    </row>
    <row r="117" spans="1:4" x14ac:dyDescent="0.35">
      <c r="A117" s="25" t="s">
        <v>87</v>
      </c>
      <c r="B117">
        <v>2</v>
      </c>
      <c r="C117" s="39">
        <f>B117/37</f>
        <v>5.4054054054054057E-2</v>
      </c>
      <c r="D117" s="40">
        <v>0.12386706948640483</v>
      </c>
    </row>
    <row r="118" spans="1:4" x14ac:dyDescent="0.35">
      <c r="A118" s="25" t="s">
        <v>88</v>
      </c>
      <c r="B118">
        <v>4</v>
      </c>
      <c r="C118" s="39">
        <f>B118/37</f>
        <v>0.10810810810810811</v>
      </c>
      <c r="D118" s="40">
        <v>0.25679758308157102</v>
      </c>
    </row>
    <row r="119" spans="1:4" x14ac:dyDescent="0.35">
      <c r="A119" s="25" t="s">
        <v>89</v>
      </c>
      <c r="B119">
        <v>14</v>
      </c>
      <c r="C119" s="39">
        <f>B119/37</f>
        <v>0.3783783783783784</v>
      </c>
      <c r="D119" s="40">
        <v>0.2809667673716012</v>
      </c>
    </row>
    <row r="120" spans="1:4" x14ac:dyDescent="0.35">
      <c r="A120" s="28" t="s">
        <v>90</v>
      </c>
      <c r="B120" s="29">
        <v>9</v>
      </c>
      <c r="C120" s="42">
        <f>B120/37</f>
        <v>0.24324324324324326</v>
      </c>
      <c r="D120" s="41">
        <v>0.30513595166163143</v>
      </c>
    </row>
  </sheetData>
  <sheetProtection algorithmName="SHA-512" hashValue="++Sg04HtzyiyFyUsGUlAQNqcQ7BwBVCi/5lfT6mNs6R/3xvCZNVTVPLa05Qy69/R8ISAYXeQZPPC5twGW4gYFw==" saltValue="p/CAoNeST7BZgpIpds6JKQ==" spinCount="100000" sheet="1" objects="1" scenarios="1"/>
  <sortState xmlns:xlrd2="http://schemas.microsoft.com/office/spreadsheetml/2017/richdata2" ref="A101:D114">
    <sortCondition descending="1" ref="B101:B114"/>
  </sortState>
  <conditionalFormatting sqref="C16:D37">
    <cfRule type="colorScale" priority="8">
      <colorScale>
        <cfvo type="min"/>
        <cfvo type="percentile" val="50"/>
        <cfvo type="max"/>
        <color rgb="FFF8696B"/>
        <color rgb="FFFFEB84"/>
        <color rgb="FF63BE7B"/>
      </colorScale>
    </cfRule>
  </conditionalFormatting>
  <conditionalFormatting sqref="C40:D57">
    <cfRule type="colorScale" priority="7">
      <colorScale>
        <cfvo type="min"/>
        <cfvo type="percentile" val="50"/>
        <cfvo type="max"/>
        <color rgb="FFF8696B"/>
        <color rgb="FFFFEB84"/>
        <color rgb="FF63BE7B"/>
      </colorScale>
    </cfRule>
  </conditionalFormatting>
  <conditionalFormatting sqref="C66:D67">
    <cfRule type="colorScale" priority="9">
      <colorScale>
        <cfvo type="min"/>
        <cfvo type="percentile" val="50"/>
        <cfvo type="max"/>
        <color rgb="FFF8696B"/>
        <color rgb="FFFFEB84"/>
        <color rgb="FF63BE7B"/>
      </colorScale>
    </cfRule>
  </conditionalFormatting>
  <conditionalFormatting sqref="C80:D87">
    <cfRule type="colorScale" priority="6">
      <colorScale>
        <cfvo type="min"/>
        <cfvo type="percentile" val="50"/>
        <cfvo type="max"/>
        <color rgb="FFF8696B"/>
        <color rgb="FFFFEB84"/>
        <color rgb="FF63BE7B"/>
      </colorScale>
    </cfRule>
  </conditionalFormatting>
  <conditionalFormatting sqref="C95:D98 C90:D92 C60:D63">
    <cfRule type="colorScale" priority="5">
      <colorScale>
        <cfvo type="min"/>
        <cfvo type="percentile" val="50"/>
        <cfvo type="max"/>
        <color rgb="FFF8696B"/>
        <color rgb="FFFFEB84"/>
        <color rgb="FF63BE7B"/>
      </colorScale>
    </cfRule>
  </conditionalFormatting>
  <conditionalFormatting sqref="C95:D98">
    <cfRule type="colorScale" priority="2">
      <colorScale>
        <cfvo type="min"/>
        <cfvo type="percentile" val="50"/>
        <cfvo type="max"/>
        <color rgb="FFF8696B"/>
        <color rgb="FFFFEB84"/>
        <color rgb="FF63BE7B"/>
      </colorScale>
    </cfRule>
  </conditionalFormatting>
  <conditionalFormatting sqref="C101:D114">
    <cfRule type="colorScale" priority="4">
      <colorScale>
        <cfvo type="min"/>
        <cfvo type="percentile" val="50"/>
        <cfvo type="max"/>
        <color rgb="FFF8696B"/>
        <color rgb="FFFFEB84"/>
        <color rgb="FF63BE7B"/>
      </colorScale>
    </cfRule>
  </conditionalFormatting>
  <conditionalFormatting sqref="C117:D120 C70:D77">
    <cfRule type="colorScale" priority="3">
      <colorScale>
        <cfvo type="min"/>
        <cfvo type="percentile" val="50"/>
        <cfvo type="max"/>
        <color rgb="FFF8696B"/>
        <color rgb="FFFFEB84"/>
        <color rgb="FF63BE7B"/>
      </colorScale>
    </cfRule>
  </conditionalFormatting>
  <conditionalFormatting sqref="C117:D120">
    <cfRule type="colorScale" priority="1">
      <colorScale>
        <cfvo type="min"/>
        <cfvo type="percentile" val="50"/>
        <cfvo type="max"/>
        <color rgb="FFF8696B"/>
        <color rgb="FFFFEB84"/>
        <color rgb="FF63BE7B"/>
      </colorScale>
    </cfRule>
  </conditionalFormatting>
  <hyperlinks>
    <hyperlink ref="A1" location="Contents!A1" display="Back to contents page" xr:uid="{A37548F5-40FD-434B-BDE9-0E8A1063D399}"/>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98C93-3D5C-441B-96FB-0D6CE359862E}">
  <dimension ref="A1:D102"/>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 min="6" max="9" width="8.7265625" customWidth="1"/>
    <col min="11" max="14" width="8.7265625" customWidth="1"/>
  </cols>
  <sheetData>
    <row r="1" spans="1:4" x14ac:dyDescent="0.35">
      <c r="A1" s="7" t="s">
        <v>18</v>
      </c>
    </row>
    <row r="2" spans="1:4" ht="15.5" x14ac:dyDescent="0.35">
      <c r="A2" s="50" t="s">
        <v>267</v>
      </c>
    </row>
    <row r="3" spans="1:4" x14ac:dyDescent="0.35">
      <c r="A3" s="53" t="s">
        <v>370</v>
      </c>
    </row>
    <row r="4" spans="1:4" x14ac:dyDescent="0.35">
      <c r="A4" s="3"/>
    </row>
    <row r="5" spans="1:4" ht="29" x14ac:dyDescent="0.35">
      <c r="A5" s="34" t="s">
        <v>222</v>
      </c>
      <c r="B5" s="23" t="s">
        <v>32</v>
      </c>
      <c r="C5" s="24" t="s">
        <v>33</v>
      </c>
    </row>
    <row r="6" spans="1:4" x14ac:dyDescent="0.35">
      <c r="A6" s="45" t="s">
        <v>34</v>
      </c>
      <c r="B6" s="46">
        <v>150</v>
      </c>
      <c r="C6" s="47">
        <f>B6/331</f>
        <v>0.45317220543806647</v>
      </c>
    </row>
    <row r="7" spans="1:4" x14ac:dyDescent="0.35">
      <c r="A7" s="25" t="s">
        <v>35</v>
      </c>
      <c r="B7">
        <v>130</v>
      </c>
      <c r="C7" s="43">
        <f>B7/331</f>
        <v>0.39274924471299094</v>
      </c>
    </row>
    <row r="8" spans="1:4" x14ac:dyDescent="0.35">
      <c r="A8" s="25" t="s">
        <v>227</v>
      </c>
      <c r="B8">
        <v>84</v>
      </c>
      <c r="C8" s="43">
        <f>B8/331</f>
        <v>0.25377643504531722</v>
      </c>
    </row>
    <row r="9" spans="1:4" x14ac:dyDescent="0.35">
      <c r="A9" s="25" t="s">
        <v>37</v>
      </c>
      <c r="B9">
        <v>78</v>
      </c>
      <c r="C9" s="43">
        <f>B9/331</f>
        <v>0.23564954682779457</v>
      </c>
    </row>
    <row r="10" spans="1:4" x14ac:dyDescent="0.35">
      <c r="A10" s="28" t="s">
        <v>38</v>
      </c>
      <c r="B10" s="29">
        <v>66</v>
      </c>
      <c r="C10" s="44">
        <f>B10/331</f>
        <v>0.19939577039274925</v>
      </c>
    </row>
    <row r="13" spans="1:4" ht="29" x14ac:dyDescent="0.35">
      <c r="A13" s="34" t="s">
        <v>19</v>
      </c>
      <c r="B13" s="23" t="s">
        <v>223</v>
      </c>
      <c r="C13" s="23" t="s">
        <v>224</v>
      </c>
      <c r="D13" s="24" t="s">
        <v>213</v>
      </c>
    </row>
    <row r="14" spans="1:4" x14ac:dyDescent="0.35">
      <c r="A14" s="25" t="s">
        <v>22</v>
      </c>
      <c r="B14">
        <v>2</v>
      </c>
      <c r="C14" s="31">
        <f t="shared" ref="C14:C19" si="0">B14/150</f>
        <v>1.3333333333333334E-2</v>
      </c>
      <c r="D14" s="27">
        <v>1.2084592145015106E-2</v>
      </c>
    </row>
    <row r="15" spans="1:4" x14ac:dyDescent="0.35">
      <c r="A15" s="25" t="s">
        <v>23</v>
      </c>
      <c r="B15">
        <v>22</v>
      </c>
      <c r="C15" s="31">
        <f t="shared" si="0"/>
        <v>0.14666666666666667</v>
      </c>
      <c r="D15" s="27">
        <v>0.11178247734138973</v>
      </c>
    </row>
    <row r="16" spans="1:4" x14ac:dyDescent="0.35">
      <c r="A16" s="25" t="s">
        <v>239</v>
      </c>
      <c r="B16">
        <v>72</v>
      </c>
      <c r="C16" s="31">
        <f t="shared" si="0"/>
        <v>0.48</v>
      </c>
      <c r="D16" s="27">
        <v>0.54380664652567978</v>
      </c>
    </row>
    <row r="17" spans="1:4" x14ac:dyDescent="0.35">
      <c r="A17" s="25" t="s">
        <v>25</v>
      </c>
      <c r="B17">
        <v>43</v>
      </c>
      <c r="C17" s="31">
        <f t="shared" si="0"/>
        <v>0.28666666666666668</v>
      </c>
      <c r="D17" s="27">
        <v>0.25981873111782477</v>
      </c>
    </row>
    <row r="18" spans="1:4" x14ac:dyDescent="0.35">
      <c r="A18" s="25" t="s">
        <v>26</v>
      </c>
      <c r="B18">
        <v>9</v>
      </c>
      <c r="C18" s="31">
        <f t="shared" si="0"/>
        <v>0.06</v>
      </c>
      <c r="D18" s="27">
        <v>6.3444108761329304E-2</v>
      </c>
    </row>
    <row r="19" spans="1:4" x14ac:dyDescent="0.35">
      <c r="A19" s="28" t="s">
        <v>27</v>
      </c>
      <c r="B19" s="29">
        <v>2</v>
      </c>
      <c r="C19" s="32">
        <f t="shared" si="0"/>
        <v>1.3333333333333334E-2</v>
      </c>
      <c r="D19" s="33">
        <v>9.0634441087613302E-3</v>
      </c>
    </row>
    <row r="21" spans="1:4" ht="29" x14ac:dyDescent="0.35">
      <c r="A21" s="22" t="s">
        <v>83</v>
      </c>
      <c r="B21" s="23" t="s">
        <v>223</v>
      </c>
      <c r="C21" s="23" t="s">
        <v>224</v>
      </c>
      <c r="D21" s="24" t="s">
        <v>213</v>
      </c>
    </row>
    <row r="22" spans="1:4" x14ac:dyDescent="0.35">
      <c r="A22" s="25" t="s">
        <v>82</v>
      </c>
      <c r="B22">
        <v>85</v>
      </c>
      <c r="C22" s="31">
        <f t="shared" ref="C22:C39" si="1">B22/150</f>
        <v>0.56666666666666665</v>
      </c>
      <c r="D22" s="27">
        <v>0.47432024169184289</v>
      </c>
    </row>
    <row r="23" spans="1:4" x14ac:dyDescent="0.35">
      <c r="A23" s="25" t="s">
        <v>81</v>
      </c>
      <c r="B23">
        <v>71</v>
      </c>
      <c r="C23" s="31">
        <f t="shared" si="1"/>
        <v>0.47333333333333333</v>
      </c>
      <c r="D23" s="27">
        <v>0.41691842900302117</v>
      </c>
    </row>
    <row r="24" spans="1:4" x14ac:dyDescent="0.35">
      <c r="A24" s="25" t="s">
        <v>122</v>
      </c>
      <c r="B24">
        <v>68</v>
      </c>
      <c r="C24" s="31">
        <f t="shared" si="1"/>
        <v>0.45333333333333331</v>
      </c>
      <c r="D24" s="27">
        <v>0.30211480362537763</v>
      </c>
    </row>
    <row r="25" spans="1:4" x14ac:dyDescent="0.35">
      <c r="A25" s="25" t="s">
        <v>80</v>
      </c>
      <c r="B25">
        <v>54</v>
      </c>
      <c r="C25" s="31">
        <f t="shared" si="1"/>
        <v>0.36</v>
      </c>
      <c r="D25" s="27">
        <v>0.24471299093655588</v>
      </c>
    </row>
    <row r="26" spans="1:4" x14ac:dyDescent="0.35">
      <c r="A26" s="25" t="s">
        <v>86</v>
      </c>
      <c r="B26">
        <v>28</v>
      </c>
      <c r="C26" s="31">
        <f t="shared" si="1"/>
        <v>0.18666666666666668</v>
      </c>
      <c r="D26" s="27">
        <v>0.2175226586102719</v>
      </c>
    </row>
    <row r="27" spans="1:4" x14ac:dyDescent="0.35">
      <c r="A27" s="25" t="s">
        <v>124</v>
      </c>
      <c r="B27">
        <v>24</v>
      </c>
      <c r="C27" s="31">
        <f t="shared" si="1"/>
        <v>0.16</v>
      </c>
      <c r="D27" s="27">
        <v>0.14803625377643503</v>
      </c>
    </row>
    <row r="28" spans="1:4" x14ac:dyDescent="0.35">
      <c r="A28" s="25" t="s">
        <v>123</v>
      </c>
      <c r="B28">
        <v>24</v>
      </c>
      <c r="C28" s="31">
        <f t="shared" si="1"/>
        <v>0.16</v>
      </c>
      <c r="D28" s="27">
        <v>0.17522658610271905</v>
      </c>
    </row>
    <row r="29" spans="1:4" x14ac:dyDescent="0.35">
      <c r="A29" s="25" t="s">
        <v>79</v>
      </c>
      <c r="B29">
        <v>22</v>
      </c>
      <c r="C29" s="31">
        <f t="shared" si="1"/>
        <v>0.14666666666666667</v>
      </c>
      <c r="D29" s="27">
        <v>0.15709969788519637</v>
      </c>
    </row>
    <row r="30" spans="1:4" x14ac:dyDescent="0.35">
      <c r="A30" s="25" t="s">
        <v>78</v>
      </c>
      <c r="B30">
        <v>14</v>
      </c>
      <c r="C30" s="31">
        <f t="shared" si="1"/>
        <v>9.3333333333333338E-2</v>
      </c>
      <c r="D30" s="27">
        <v>8.4592145015105744E-2</v>
      </c>
    </row>
    <row r="31" spans="1:4" x14ac:dyDescent="0.35">
      <c r="A31" s="25" t="s">
        <v>125</v>
      </c>
      <c r="B31">
        <v>12</v>
      </c>
      <c r="C31" s="31">
        <f t="shared" si="1"/>
        <v>0.08</v>
      </c>
      <c r="D31" s="27">
        <v>8.1570996978851965E-2</v>
      </c>
    </row>
    <row r="32" spans="1:4" x14ac:dyDescent="0.35">
      <c r="A32" s="25" t="s">
        <v>77</v>
      </c>
      <c r="B32">
        <v>11</v>
      </c>
      <c r="C32" s="31">
        <f t="shared" si="1"/>
        <v>7.3333333333333334E-2</v>
      </c>
      <c r="D32" s="27">
        <v>7.5528700906344406E-2</v>
      </c>
    </row>
    <row r="33" spans="1:4" x14ac:dyDescent="0.35">
      <c r="A33" s="25" t="s">
        <v>126</v>
      </c>
      <c r="B33">
        <v>7</v>
      </c>
      <c r="C33" s="31">
        <f t="shared" si="1"/>
        <v>4.6666666666666669E-2</v>
      </c>
      <c r="D33" s="27">
        <v>6.6465256797583083E-2</v>
      </c>
    </row>
    <row r="34" spans="1:4" x14ac:dyDescent="0.35">
      <c r="A34" s="25" t="s">
        <v>127</v>
      </c>
      <c r="B34">
        <v>4</v>
      </c>
      <c r="C34" s="31">
        <f t="shared" si="1"/>
        <v>2.6666666666666668E-2</v>
      </c>
      <c r="D34" s="27">
        <v>3.0211480362537766E-2</v>
      </c>
    </row>
    <row r="35" spans="1:4" x14ac:dyDescent="0.35">
      <c r="A35" s="25" t="s">
        <v>73</v>
      </c>
      <c r="B35">
        <v>2</v>
      </c>
      <c r="C35" s="31">
        <f t="shared" si="1"/>
        <v>1.3333333333333334E-2</v>
      </c>
      <c r="D35" s="27">
        <f>2/331</f>
        <v>6.0422960725075529E-3</v>
      </c>
    </row>
    <row r="36" spans="1:4" x14ac:dyDescent="0.35">
      <c r="A36" s="25" t="s">
        <v>76</v>
      </c>
      <c r="B36">
        <v>2</v>
      </c>
      <c r="C36" s="31">
        <f t="shared" si="1"/>
        <v>1.3333333333333334E-2</v>
      </c>
      <c r="D36" s="27">
        <f>3/331</f>
        <v>9.0634441087613302E-3</v>
      </c>
    </row>
    <row r="37" spans="1:4" x14ac:dyDescent="0.35">
      <c r="A37" s="25" t="s">
        <v>74</v>
      </c>
      <c r="B37">
        <v>2</v>
      </c>
      <c r="C37" s="31">
        <f t="shared" si="1"/>
        <v>1.3333333333333334E-2</v>
      </c>
      <c r="D37" s="27">
        <v>6.0422960725075529E-3</v>
      </c>
    </row>
    <row r="38" spans="1:4" x14ac:dyDescent="0.35">
      <c r="A38" s="25" t="s">
        <v>75</v>
      </c>
      <c r="B38">
        <v>1</v>
      </c>
      <c r="C38" s="31">
        <f t="shared" si="1"/>
        <v>6.6666666666666671E-3</v>
      </c>
      <c r="D38" s="27">
        <f>2/331</f>
        <v>6.0422960725075529E-3</v>
      </c>
    </row>
    <row r="39" spans="1:4" x14ac:dyDescent="0.35">
      <c r="A39" s="28" t="s">
        <v>128</v>
      </c>
      <c r="B39" s="29">
        <v>1</v>
      </c>
      <c r="C39" s="32">
        <f t="shared" si="1"/>
        <v>6.6666666666666671E-3</v>
      </c>
      <c r="D39" s="33">
        <v>1.2084592145015106E-2</v>
      </c>
    </row>
    <row r="41" spans="1:4" ht="29" x14ac:dyDescent="0.35">
      <c r="A41" s="34" t="s">
        <v>115</v>
      </c>
      <c r="B41" s="23" t="s">
        <v>223</v>
      </c>
      <c r="C41" s="23" t="s">
        <v>224</v>
      </c>
      <c r="D41" s="24" t="s">
        <v>213</v>
      </c>
    </row>
    <row r="42" spans="1:4" x14ac:dyDescent="0.35">
      <c r="A42" s="25" t="s">
        <v>116</v>
      </c>
      <c r="B42">
        <v>8</v>
      </c>
      <c r="C42" s="31">
        <f>B42/150</f>
        <v>5.3333333333333337E-2</v>
      </c>
      <c r="D42" s="27">
        <v>8.1081081081081086E-2</v>
      </c>
    </row>
    <row r="43" spans="1:4" x14ac:dyDescent="0.35">
      <c r="A43" s="25" t="s">
        <v>117</v>
      </c>
      <c r="B43">
        <v>19</v>
      </c>
      <c r="C43" s="31">
        <f t="shared" ref="C43:C45" si="2">B43/150</f>
        <v>0.12666666666666668</v>
      </c>
      <c r="D43" s="27">
        <v>9.0090090090090086E-2</v>
      </c>
    </row>
    <row r="44" spans="1:4" x14ac:dyDescent="0.35">
      <c r="A44" s="25" t="s">
        <v>118</v>
      </c>
      <c r="B44">
        <v>55</v>
      </c>
      <c r="C44" s="31">
        <f t="shared" si="2"/>
        <v>0.36666666666666664</v>
      </c>
      <c r="D44" s="27">
        <v>0.38438438438438438</v>
      </c>
    </row>
    <row r="45" spans="1:4" x14ac:dyDescent="0.35">
      <c r="A45" s="28" t="s">
        <v>119</v>
      </c>
      <c r="B45" s="29">
        <v>68</v>
      </c>
      <c r="C45" s="32">
        <f t="shared" si="2"/>
        <v>0.45333333333333331</v>
      </c>
      <c r="D45" s="33">
        <v>0.44144144144144143</v>
      </c>
    </row>
    <row r="47" spans="1:4" ht="43.5" x14ac:dyDescent="0.35">
      <c r="A47" s="34" t="s">
        <v>145</v>
      </c>
      <c r="B47" s="23" t="s">
        <v>223</v>
      </c>
      <c r="C47" s="23" t="s">
        <v>224</v>
      </c>
      <c r="D47" s="24" t="s">
        <v>213</v>
      </c>
    </row>
    <row r="48" spans="1:4" x14ac:dyDescent="0.35">
      <c r="A48" s="25" t="s">
        <v>143</v>
      </c>
      <c r="B48">
        <v>43</v>
      </c>
      <c r="C48" s="31">
        <f>B48/150</f>
        <v>0.28666666666666668</v>
      </c>
      <c r="D48" s="27">
        <v>0.26586102719033233</v>
      </c>
    </row>
    <row r="49" spans="1:4" x14ac:dyDescent="0.35">
      <c r="A49" s="28" t="s">
        <v>144</v>
      </c>
      <c r="B49" s="29">
        <v>107</v>
      </c>
      <c r="C49" s="32">
        <f>B49/150</f>
        <v>0.71333333333333337</v>
      </c>
      <c r="D49" s="33">
        <v>0.73413897280966767</v>
      </c>
    </row>
    <row r="51" spans="1:4" ht="29" x14ac:dyDescent="0.35">
      <c r="A51" s="34" t="s">
        <v>105</v>
      </c>
      <c r="B51" s="23" t="s">
        <v>223</v>
      </c>
      <c r="C51" s="23" t="s">
        <v>224</v>
      </c>
      <c r="D51" s="24" t="s">
        <v>213</v>
      </c>
    </row>
    <row r="52" spans="1:4" x14ac:dyDescent="0.35">
      <c r="A52" s="25" t="s">
        <v>107</v>
      </c>
      <c r="B52">
        <v>10</v>
      </c>
      <c r="C52" s="31">
        <f>B52/150</f>
        <v>6.6666666666666666E-2</v>
      </c>
      <c r="D52" s="27">
        <v>6.3444108761329304E-2</v>
      </c>
    </row>
    <row r="53" spans="1:4" x14ac:dyDescent="0.35">
      <c r="A53" s="25" t="s">
        <v>108</v>
      </c>
      <c r="B53">
        <v>4</v>
      </c>
      <c r="C53" s="31">
        <f t="shared" ref="C53:C59" si="3">B53/150</f>
        <v>2.6666666666666668E-2</v>
      </c>
      <c r="D53" s="27">
        <v>3.3232628398791542E-2</v>
      </c>
    </row>
    <row r="54" spans="1:4" x14ac:dyDescent="0.35">
      <c r="A54" s="25" t="s">
        <v>109</v>
      </c>
      <c r="B54">
        <v>3</v>
      </c>
      <c r="C54" s="31">
        <f t="shared" si="3"/>
        <v>0.02</v>
      </c>
      <c r="D54" s="27">
        <v>3.9274924471299093E-2</v>
      </c>
    </row>
    <row r="55" spans="1:4" x14ac:dyDescent="0.35">
      <c r="A55" s="25" t="s">
        <v>110</v>
      </c>
      <c r="B55">
        <v>19</v>
      </c>
      <c r="C55" s="31">
        <f t="shared" si="3"/>
        <v>0.12666666666666668</v>
      </c>
      <c r="D55" s="27">
        <v>0.11480362537764351</v>
      </c>
    </row>
    <row r="56" spans="1:4" x14ac:dyDescent="0.35">
      <c r="A56" s="25" t="s">
        <v>111</v>
      </c>
      <c r="B56">
        <v>27</v>
      </c>
      <c r="C56" s="31">
        <f t="shared" si="3"/>
        <v>0.18</v>
      </c>
      <c r="D56" s="27">
        <v>0.18731117824773413</v>
      </c>
    </row>
    <row r="57" spans="1:4" x14ac:dyDescent="0.35">
      <c r="A57" s="25" t="s">
        <v>112</v>
      </c>
      <c r="B57">
        <v>15</v>
      </c>
      <c r="C57" s="31">
        <f t="shared" si="3"/>
        <v>0.1</v>
      </c>
      <c r="D57" s="27">
        <v>0.10574018126888217</v>
      </c>
    </row>
    <row r="58" spans="1:4" x14ac:dyDescent="0.35">
      <c r="A58" s="25" t="s">
        <v>113</v>
      </c>
      <c r="B58">
        <v>66</v>
      </c>
      <c r="C58" s="31">
        <f t="shared" si="3"/>
        <v>0.44</v>
      </c>
      <c r="D58" s="27">
        <v>0.39577039274924469</v>
      </c>
    </row>
    <row r="59" spans="1:4" x14ac:dyDescent="0.35">
      <c r="A59" s="28" t="s">
        <v>114</v>
      </c>
      <c r="B59" s="29">
        <v>5</v>
      </c>
      <c r="C59" s="32">
        <f t="shared" si="3"/>
        <v>3.3333333333333333E-2</v>
      </c>
      <c r="D59" s="33">
        <v>6.0422960725075532E-2</v>
      </c>
    </row>
    <row r="61" spans="1:4" ht="29" x14ac:dyDescent="0.35">
      <c r="A61" s="34" t="s">
        <v>154</v>
      </c>
      <c r="B61" s="23" t="s">
        <v>223</v>
      </c>
      <c r="C61" s="23" t="s">
        <v>224</v>
      </c>
      <c r="D61" s="24" t="s">
        <v>213</v>
      </c>
    </row>
    <row r="62" spans="1:4" x14ac:dyDescent="0.35">
      <c r="A62" s="25" t="s">
        <v>155</v>
      </c>
      <c r="B62">
        <v>99</v>
      </c>
      <c r="C62" s="31">
        <f t="shared" ref="C62:C69" si="4">B62/150</f>
        <v>0.66</v>
      </c>
      <c r="D62" s="27">
        <v>0.66767371601208458</v>
      </c>
    </row>
    <row r="63" spans="1:4" x14ac:dyDescent="0.35">
      <c r="A63" s="25" t="s">
        <v>156</v>
      </c>
      <c r="B63">
        <v>42</v>
      </c>
      <c r="C63" s="31">
        <f t="shared" si="4"/>
        <v>0.28000000000000003</v>
      </c>
      <c r="D63" s="27">
        <v>0.25377643504531722</v>
      </c>
    </row>
    <row r="64" spans="1:4" x14ac:dyDescent="0.35">
      <c r="A64" s="25" t="s">
        <v>158</v>
      </c>
      <c r="B64">
        <v>29</v>
      </c>
      <c r="C64" s="31">
        <f t="shared" si="4"/>
        <v>0.19333333333333333</v>
      </c>
      <c r="D64" s="27">
        <v>0.14501510574018128</v>
      </c>
    </row>
    <row r="65" spans="1:4" x14ac:dyDescent="0.35">
      <c r="A65" s="25" t="s">
        <v>157</v>
      </c>
      <c r="B65">
        <v>24</v>
      </c>
      <c r="C65" s="31">
        <f t="shared" si="4"/>
        <v>0.16</v>
      </c>
      <c r="D65" s="27">
        <v>0.15105740181268881</v>
      </c>
    </row>
    <row r="66" spans="1:4" x14ac:dyDescent="0.35">
      <c r="A66" s="25" t="s">
        <v>159</v>
      </c>
      <c r="B66">
        <v>23</v>
      </c>
      <c r="C66" s="31">
        <f t="shared" si="4"/>
        <v>0.15333333333333332</v>
      </c>
      <c r="D66" s="27">
        <v>0.12688821752265861</v>
      </c>
    </row>
    <row r="67" spans="1:4" x14ac:dyDescent="0.35">
      <c r="A67" s="25" t="s">
        <v>160</v>
      </c>
      <c r="B67">
        <v>15</v>
      </c>
      <c r="C67" s="31">
        <f t="shared" si="4"/>
        <v>0.1</v>
      </c>
      <c r="D67" s="27">
        <v>0.10574018126888217</v>
      </c>
    </row>
    <row r="68" spans="1:4" x14ac:dyDescent="0.35">
      <c r="A68" s="25" t="s">
        <v>161</v>
      </c>
      <c r="B68">
        <v>11</v>
      </c>
      <c r="C68" s="31">
        <f t="shared" si="4"/>
        <v>7.3333333333333334E-2</v>
      </c>
      <c r="D68" s="27">
        <v>7.8549848942598186E-2</v>
      </c>
    </row>
    <row r="69" spans="1:4" x14ac:dyDescent="0.35">
      <c r="A69" s="28" t="s">
        <v>162</v>
      </c>
      <c r="B69" s="29">
        <v>0</v>
      </c>
      <c r="C69" s="32">
        <f t="shared" si="4"/>
        <v>0</v>
      </c>
      <c r="D69" s="33">
        <v>1.2084592145015106E-2</v>
      </c>
    </row>
    <row r="71" spans="1:4" ht="43.5" x14ac:dyDescent="0.35">
      <c r="A71" s="34" t="s">
        <v>146</v>
      </c>
      <c r="B71" s="23" t="s">
        <v>223</v>
      </c>
      <c r="C71" s="23" t="s">
        <v>224</v>
      </c>
      <c r="D71" s="24" t="s">
        <v>213</v>
      </c>
    </row>
    <row r="72" spans="1:4" x14ac:dyDescent="0.35">
      <c r="A72" s="25" t="s">
        <v>147</v>
      </c>
      <c r="B72">
        <v>125</v>
      </c>
      <c r="C72" s="31">
        <f>B72/150</f>
        <v>0.83333333333333337</v>
      </c>
      <c r="D72" s="27">
        <v>0.83383685800604235</v>
      </c>
    </row>
    <row r="73" spans="1:4" x14ac:dyDescent="0.35">
      <c r="A73" s="25" t="s">
        <v>148</v>
      </c>
      <c r="B73">
        <v>58</v>
      </c>
      <c r="C73" s="31">
        <f t="shared" ref="C73:C74" si="5">B73/150</f>
        <v>0.38666666666666666</v>
      </c>
      <c r="D73" s="27">
        <v>0.38368580060422963</v>
      </c>
    </row>
    <row r="74" spans="1:4" x14ac:dyDescent="0.35">
      <c r="A74" s="28" t="s">
        <v>89</v>
      </c>
      <c r="B74" s="29">
        <v>21</v>
      </c>
      <c r="C74" s="32">
        <f t="shared" si="5"/>
        <v>0.14000000000000001</v>
      </c>
      <c r="D74" s="33">
        <v>0.12084592145015106</v>
      </c>
    </row>
    <row r="76" spans="1:4" ht="87" x14ac:dyDescent="0.35">
      <c r="A76" s="34" t="s">
        <v>149</v>
      </c>
      <c r="B76" s="23" t="s">
        <v>223</v>
      </c>
      <c r="C76" s="23" t="s">
        <v>224</v>
      </c>
      <c r="D76" s="24" t="s">
        <v>213</v>
      </c>
    </row>
    <row r="77" spans="1:4" x14ac:dyDescent="0.35">
      <c r="A77" s="25" t="s">
        <v>150</v>
      </c>
      <c r="B77">
        <v>69</v>
      </c>
      <c r="C77" s="31">
        <f>B77/150</f>
        <v>0.46</v>
      </c>
      <c r="D77" s="27">
        <v>0.45015105740181272</v>
      </c>
    </row>
    <row r="78" spans="1:4" x14ac:dyDescent="0.35">
      <c r="A78" s="25" t="s">
        <v>152</v>
      </c>
      <c r="B78">
        <v>75</v>
      </c>
      <c r="C78" s="31">
        <f>B78/150</f>
        <v>0.5</v>
      </c>
      <c r="D78" s="27">
        <v>0.52567975830815705</v>
      </c>
    </row>
    <row r="79" spans="1:4" x14ac:dyDescent="0.35">
      <c r="A79" s="25" t="s">
        <v>151</v>
      </c>
      <c r="B79">
        <v>92</v>
      </c>
      <c r="C79" s="31">
        <f>B79/150</f>
        <v>0.61333333333333329</v>
      </c>
      <c r="D79" s="27">
        <v>0.58308157099697888</v>
      </c>
    </row>
    <row r="80" spans="1:4" x14ac:dyDescent="0.35">
      <c r="A80" s="28" t="s">
        <v>153</v>
      </c>
      <c r="B80" s="29">
        <v>50</v>
      </c>
      <c r="C80" s="32">
        <f>B80/150</f>
        <v>0.33333333333333331</v>
      </c>
      <c r="D80" s="33">
        <v>0.38368580060422963</v>
      </c>
    </row>
    <row r="82" spans="1:4" ht="43.5" x14ac:dyDescent="0.35">
      <c r="A82" s="34" t="s">
        <v>163</v>
      </c>
      <c r="B82" s="23" t="s">
        <v>223</v>
      </c>
      <c r="C82" s="23" t="s">
        <v>224</v>
      </c>
      <c r="D82" s="24" t="s">
        <v>213</v>
      </c>
    </row>
    <row r="83" spans="1:4" x14ac:dyDescent="0.35">
      <c r="A83" s="25" t="s">
        <v>164</v>
      </c>
      <c r="B83">
        <v>64</v>
      </c>
      <c r="C83" s="31">
        <f t="shared" ref="C83:C96" si="6">B83/150</f>
        <v>0.42666666666666669</v>
      </c>
      <c r="D83" s="27">
        <v>0.39274924471299094</v>
      </c>
    </row>
    <row r="84" spans="1:4" x14ac:dyDescent="0.35">
      <c r="A84" s="25" t="s">
        <v>165</v>
      </c>
      <c r="B84">
        <v>62</v>
      </c>
      <c r="C84" s="31">
        <f t="shared" si="6"/>
        <v>0.41333333333333333</v>
      </c>
      <c r="D84" s="27">
        <v>0.38670694864048338</v>
      </c>
    </row>
    <row r="85" spans="1:4" x14ac:dyDescent="0.35">
      <c r="A85" s="25" t="s">
        <v>167</v>
      </c>
      <c r="B85">
        <v>40</v>
      </c>
      <c r="C85" s="31">
        <f t="shared" si="6"/>
        <v>0.26666666666666666</v>
      </c>
      <c r="D85" s="27">
        <v>0.22658610271903323</v>
      </c>
    </row>
    <row r="86" spans="1:4" x14ac:dyDescent="0.35">
      <c r="A86" s="25" t="s">
        <v>168</v>
      </c>
      <c r="B86">
        <v>38</v>
      </c>
      <c r="C86" s="31">
        <f t="shared" si="6"/>
        <v>0.25333333333333335</v>
      </c>
      <c r="D86" s="27">
        <v>0.2175226586102719</v>
      </c>
    </row>
    <row r="87" spans="1:4" x14ac:dyDescent="0.35">
      <c r="A87" s="25" t="s">
        <v>166</v>
      </c>
      <c r="B87">
        <v>36</v>
      </c>
      <c r="C87" s="31">
        <f t="shared" si="6"/>
        <v>0.24</v>
      </c>
      <c r="D87" s="27">
        <v>0.23262839879154079</v>
      </c>
    </row>
    <row r="88" spans="1:4" x14ac:dyDescent="0.35">
      <c r="A88" s="25" t="s">
        <v>169</v>
      </c>
      <c r="B88">
        <v>33</v>
      </c>
      <c r="C88" s="31">
        <f t="shared" si="6"/>
        <v>0.22</v>
      </c>
      <c r="D88" s="27">
        <v>0.19637462235649547</v>
      </c>
    </row>
    <row r="89" spans="1:4" x14ac:dyDescent="0.35">
      <c r="A89" s="25" t="s">
        <v>171</v>
      </c>
      <c r="B89">
        <v>26</v>
      </c>
      <c r="C89" s="31">
        <f t="shared" si="6"/>
        <v>0.17333333333333334</v>
      </c>
      <c r="D89" s="27">
        <v>0.15105740181268881</v>
      </c>
    </row>
    <row r="90" spans="1:4" x14ac:dyDescent="0.35">
      <c r="A90" s="25" t="s">
        <v>170</v>
      </c>
      <c r="B90">
        <v>25</v>
      </c>
      <c r="C90" s="31">
        <f t="shared" si="6"/>
        <v>0.16666666666666666</v>
      </c>
      <c r="D90" s="27">
        <v>0.16314199395770393</v>
      </c>
    </row>
    <row r="91" spans="1:4" x14ac:dyDescent="0.35">
      <c r="A91" s="25" t="s">
        <v>172</v>
      </c>
      <c r="B91">
        <v>10</v>
      </c>
      <c r="C91" s="31">
        <f t="shared" si="6"/>
        <v>6.6666666666666666E-2</v>
      </c>
      <c r="D91" s="27">
        <v>5.7401812688821753E-2</v>
      </c>
    </row>
    <row r="92" spans="1:4" x14ac:dyDescent="0.35">
      <c r="A92" s="25" t="s">
        <v>173</v>
      </c>
      <c r="B92">
        <v>8</v>
      </c>
      <c r="C92" s="31">
        <f t="shared" si="6"/>
        <v>5.3333333333333337E-2</v>
      </c>
      <c r="D92" s="27">
        <v>5.1359516616314202E-2</v>
      </c>
    </row>
    <row r="93" spans="1:4" x14ac:dyDescent="0.35">
      <c r="A93" s="25" t="s">
        <v>175</v>
      </c>
      <c r="B93">
        <v>4</v>
      </c>
      <c r="C93" s="31">
        <f t="shared" si="6"/>
        <v>2.6666666666666668E-2</v>
      </c>
      <c r="D93" s="27">
        <v>1.812688821752266E-2</v>
      </c>
    </row>
    <row r="94" spans="1:4" x14ac:dyDescent="0.35">
      <c r="A94" s="25" t="s">
        <v>174</v>
      </c>
      <c r="B94">
        <v>2</v>
      </c>
      <c r="C94" s="31">
        <f t="shared" si="6"/>
        <v>1.3333333333333334E-2</v>
      </c>
      <c r="D94" s="27">
        <v>2.4169184290030211E-2</v>
      </c>
    </row>
    <row r="95" spans="1:4" x14ac:dyDescent="0.35">
      <c r="A95" s="25" t="s">
        <v>176</v>
      </c>
      <c r="B95">
        <v>2</v>
      </c>
      <c r="C95" s="31">
        <f t="shared" si="6"/>
        <v>1.3333333333333334E-2</v>
      </c>
      <c r="D95" s="27">
        <v>9.0634441087613302E-3</v>
      </c>
    </row>
    <row r="96" spans="1:4" x14ac:dyDescent="0.35">
      <c r="A96" s="28" t="s">
        <v>177</v>
      </c>
      <c r="B96" s="29">
        <v>1</v>
      </c>
      <c r="C96" s="32">
        <f t="shared" si="6"/>
        <v>6.6666666666666671E-3</v>
      </c>
      <c r="D96" s="33">
        <v>6.0422960725075529E-3</v>
      </c>
    </row>
    <row r="98" spans="1:4" ht="29" x14ac:dyDescent="0.35">
      <c r="A98" s="34" t="s">
        <v>94</v>
      </c>
      <c r="B98" s="23" t="s">
        <v>223</v>
      </c>
      <c r="C98" s="23" t="s">
        <v>224</v>
      </c>
      <c r="D98" s="24" t="s">
        <v>213</v>
      </c>
    </row>
    <row r="99" spans="1:4" x14ac:dyDescent="0.35">
      <c r="A99" s="25" t="s">
        <v>87</v>
      </c>
      <c r="B99">
        <v>15</v>
      </c>
      <c r="C99" s="31">
        <f>B99/150</f>
        <v>0.1</v>
      </c>
      <c r="D99" s="27">
        <v>0.12386706948640483</v>
      </c>
    </row>
    <row r="100" spans="1:4" x14ac:dyDescent="0.35">
      <c r="A100" s="25" t="s">
        <v>88</v>
      </c>
      <c r="B100">
        <v>45</v>
      </c>
      <c r="C100" s="31">
        <f t="shared" ref="C100:C102" si="7">B100/150</f>
        <v>0.3</v>
      </c>
      <c r="D100" s="27">
        <v>0.25679758308157102</v>
      </c>
    </row>
    <row r="101" spans="1:4" x14ac:dyDescent="0.35">
      <c r="A101" s="25" t="s">
        <v>89</v>
      </c>
      <c r="B101">
        <v>39</v>
      </c>
      <c r="C101" s="31">
        <f t="shared" si="7"/>
        <v>0.26</v>
      </c>
      <c r="D101" s="27">
        <v>0.2809667673716012</v>
      </c>
    </row>
    <row r="102" spans="1:4" x14ac:dyDescent="0.35">
      <c r="A102" s="28" t="s">
        <v>90</v>
      </c>
      <c r="B102" s="29">
        <v>52</v>
      </c>
      <c r="C102" s="32">
        <f t="shared" si="7"/>
        <v>0.34666666666666668</v>
      </c>
      <c r="D102" s="33">
        <v>0.30513595166163143</v>
      </c>
    </row>
  </sheetData>
  <sheetProtection algorithmName="SHA-512" hashValue="60IUQLpVVETkRwQmsvm56nJ6EyuZuYHofp0pKpTyhqsmOn30Hqz9V3Xfe8RhNK/nFKBAd1oeeYpJWAE0/twJeg==" saltValue="4CzkRnV2WHIemWDcKpGYYg==" spinCount="100000" sheet="1" objects="1" scenarios="1"/>
  <sortState xmlns:xlrd2="http://schemas.microsoft.com/office/spreadsheetml/2017/richdata2" ref="A83:D96">
    <sortCondition descending="1" ref="B96"/>
  </sortState>
  <conditionalFormatting sqref="C14:D19">
    <cfRule type="colorScale" priority="33">
      <colorScale>
        <cfvo type="min"/>
        <cfvo type="percentile" val="50"/>
        <cfvo type="max"/>
        <color rgb="FFF8696B"/>
        <color rgb="FFFFEB84"/>
        <color rgb="FF63BE7B"/>
      </colorScale>
    </cfRule>
  </conditionalFormatting>
  <conditionalFormatting sqref="C22:D39">
    <cfRule type="colorScale" priority="31">
      <colorScale>
        <cfvo type="min"/>
        <cfvo type="percentile" val="50"/>
        <cfvo type="max"/>
        <color rgb="FFF8696B"/>
        <color rgb="FFFFEB84"/>
        <color rgb="FF63BE7B"/>
      </colorScale>
    </cfRule>
  </conditionalFormatting>
  <conditionalFormatting sqref="C48:D49">
    <cfRule type="colorScale" priority="3">
      <colorScale>
        <cfvo type="min"/>
        <cfvo type="percentile" val="50"/>
        <cfvo type="max"/>
        <color rgb="FFF8696B"/>
        <color rgb="FFFFEB84"/>
        <color rgb="FF63BE7B"/>
      </colorScale>
    </cfRule>
  </conditionalFormatting>
  <conditionalFormatting sqref="C52:D59 C99:D102">
    <cfRule type="colorScale" priority="28">
      <colorScale>
        <cfvo type="min"/>
        <cfvo type="percentile" val="50"/>
        <cfvo type="max"/>
        <color rgb="FFF8696B"/>
        <color rgb="FFFFEB84"/>
        <color rgb="FF63BE7B"/>
      </colorScale>
    </cfRule>
  </conditionalFormatting>
  <conditionalFormatting sqref="C62:D69">
    <cfRule type="colorScale" priority="32">
      <colorScale>
        <cfvo type="min"/>
        <cfvo type="percentile" val="50"/>
        <cfvo type="max"/>
        <color rgb="FFF8696B"/>
        <color rgb="FFFFEB84"/>
        <color rgb="FF63BE7B"/>
      </colorScale>
    </cfRule>
  </conditionalFormatting>
  <conditionalFormatting sqref="C77:D80 C42:D45 C72:D74">
    <cfRule type="colorScale" priority="30">
      <colorScale>
        <cfvo type="min"/>
        <cfvo type="percentile" val="50"/>
        <cfvo type="max"/>
        <color rgb="FFF8696B"/>
        <color rgb="FFFFEB84"/>
        <color rgb="FF63BE7B"/>
      </colorScale>
    </cfRule>
  </conditionalFormatting>
  <conditionalFormatting sqref="C77:D80">
    <cfRule type="colorScale" priority="2">
      <colorScale>
        <cfvo type="min"/>
        <cfvo type="percentile" val="50"/>
        <cfvo type="max"/>
        <color rgb="FFF8696B"/>
        <color rgb="FFFFEB84"/>
        <color rgb="FF63BE7B"/>
      </colorScale>
    </cfRule>
  </conditionalFormatting>
  <conditionalFormatting sqref="C83:D96">
    <cfRule type="colorScale" priority="29">
      <colorScale>
        <cfvo type="min"/>
        <cfvo type="percentile" val="50"/>
        <cfvo type="max"/>
        <color rgb="FFF8696B"/>
        <color rgb="FFFFEB84"/>
        <color rgb="FF63BE7B"/>
      </colorScale>
    </cfRule>
  </conditionalFormatting>
  <conditionalFormatting sqref="C99:D102">
    <cfRule type="colorScale" priority="1">
      <colorScale>
        <cfvo type="min"/>
        <cfvo type="percentile" val="50"/>
        <cfvo type="max"/>
        <color rgb="FFF8696B"/>
        <color rgb="FFFFEB84"/>
        <color rgb="FF63BE7B"/>
      </colorScale>
    </cfRule>
  </conditionalFormatting>
  <hyperlinks>
    <hyperlink ref="A1" location="Contents!A1" display="Back to contents page" xr:uid="{16EC4BBB-525B-40D8-A7A9-2D12CECBEE7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40F4F-85B4-4297-87D9-6AD190E54D76}">
  <dimension ref="A1:D101"/>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7" t="s">
        <v>18</v>
      </c>
    </row>
    <row r="2" spans="1:4" ht="15.5" x14ac:dyDescent="0.35">
      <c r="A2" s="50" t="s">
        <v>268</v>
      </c>
    </row>
    <row r="3" spans="1:4" x14ac:dyDescent="0.35">
      <c r="A3" s="53" t="s">
        <v>370</v>
      </c>
    </row>
    <row r="4" spans="1:4" x14ac:dyDescent="0.35">
      <c r="A4" s="3"/>
    </row>
    <row r="5" spans="1:4" ht="29" x14ac:dyDescent="0.35">
      <c r="A5" s="34" t="s">
        <v>222</v>
      </c>
      <c r="B5" s="23" t="s">
        <v>32</v>
      </c>
      <c r="C5" s="24" t="s">
        <v>33</v>
      </c>
    </row>
    <row r="6" spans="1:4" x14ac:dyDescent="0.35">
      <c r="A6" s="25" t="s">
        <v>34</v>
      </c>
      <c r="B6">
        <v>150</v>
      </c>
      <c r="C6" s="43">
        <f>B6/331</f>
        <v>0.45317220543806647</v>
      </c>
    </row>
    <row r="7" spans="1:4" x14ac:dyDescent="0.35">
      <c r="A7" s="45" t="s">
        <v>35</v>
      </c>
      <c r="B7" s="46">
        <v>130</v>
      </c>
      <c r="C7" s="47">
        <f>B7/331</f>
        <v>0.39274924471299094</v>
      </c>
    </row>
    <row r="8" spans="1:4" x14ac:dyDescent="0.35">
      <c r="A8" s="25" t="s">
        <v>227</v>
      </c>
      <c r="B8">
        <v>84</v>
      </c>
      <c r="C8" s="43">
        <f>B8/331</f>
        <v>0.25377643504531722</v>
      </c>
    </row>
    <row r="9" spans="1:4" x14ac:dyDescent="0.35">
      <c r="A9" s="25" t="s">
        <v>37</v>
      </c>
      <c r="B9">
        <v>78</v>
      </c>
      <c r="C9" s="43">
        <f>B9/331</f>
        <v>0.23564954682779457</v>
      </c>
    </row>
    <row r="10" spans="1:4" x14ac:dyDescent="0.35">
      <c r="A10" s="28" t="s">
        <v>38</v>
      </c>
      <c r="B10" s="29">
        <v>66</v>
      </c>
      <c r="C10" s="44">
        <f>B10/331</f>
        <v>0.19939577039274925</v>
      </c>
    </row>
    <row r="12" spans="1:4" ht="29" x14ac:dyDescent="0.35">
      <c r="A12" s="34" t="s">
        <v>19</v>
      </c>
      <c r="B12" s="23" t="s">
        <v>225</v>
      </c>
      <c r="C12" s="23" t="s">
        <v>226</v>
      </c>
      <c r="D12" s="24" t="s">
        <v>213</v>
      </c>
    </row>
    <row r="13" spans="1:4" x14ac:dyDescent="0.35">
      <c r="A13" s="25" t="s">
        <v>22</v>
      </c>
      <c r="B13">
        <v>1</v>
      </c>
      <c r="C13" s="31">
        <f>B13/130</f>
        <v>7.6923076923076927E-3</v>
      </c>
      <c r="D13" s="27">
        <v>1.2084592145015106E-2</v>
      </c>
    </row>
    <row r="14" spans="1:4" x14ac:dyDescent="0.35">
      <c r="A14" s="25" t="s">
        <v>23</v>
      </c>
      <c r="B14">
        <v>13</v>
      </c>
      <c r="C14" s="31">
        <f t="shared" ref="C14:C18" si="0">B14/130</f>
        <v>0.1</v>
      </c>
      <c r="D14" s="27">
        <v>0.11178247734138973</v>
      </c>
    </row>
    <row r="15" spans="1:4" x14ac:dyDescent="0.35">
      <c r="A15" s="25" t="s">
        <v>239</v>
      </c>
      <c r="B15">
        <v>56</v>
      </c>
      <c r="C15" s="31">
        <f t="shared" si="0"/>
        <v>0.43076923076923079</v>
      </c>
      <c r="D15" s="27">
        <v>0.54380664652567978</v>
      </c>
    </row>
    <row r="16" spans="1:4" x14ac:dyDescent="0.35">
      <c r="A16" s="25" t="s">
        <v>25</v>
      </c>
      <c r="B16">
        <v>39</v>
      </c>
      <c r="C16" s="31">
        <f t="shared" si="0"/>
        <v>0.3</v>
      </c>
      <c r="D16" s="27">
        <v>0.25981873111782477</v>
      </c>
    </row>
    <row r="17" spans="1:4" x14ac:dyDescent="0.35">
      <c r="A17" s="25" t="s">
        <v>26</v>
      </c>
      <c r="B17">
        <v>18</v>
      </c>
      <c r="C17" s="31">
        <f t="shared" si="0"/>
        <v>0.13846153846153847</v>
      </c>
      <c r="D17" s="27">
        <v>6.3444108761329304E-2</v>
      </c>
    </row>
    <row r="18" spans="1:4" x14ac:dyDescent="0.35">
      <c r="A18" s="28" t="s">
        <v>27</v>
      </c>
      <c r="B18" s="29">
        <v>3</v>
      </c>
      <c r="C18" s="32">
        <f t="shared" si="0"/>
        <v>2.3076923076923078E-2</v>
      </c>
      <c r="D18" s="33">
        <v>9.0634441087613302E-3</v>
      </c>
    </row>
    <row r="19" spans="1:4" x14ac:dyDescent="0.35">
      <c r="A19" s="25"/>
      <c r="C19" s="31"/>
      <c r="D19" s="27"/>
    </row>
    <row r="20" spans="1:4" ht="29" x14ac:dyDescent="0.35">
      <c r="A20" s="22" t="s">
        <v>83</v>
      </c>
      <c r="B20" s="23" t="s">
        <v>225</v>
      </c>
      <c r="C20" s="23" t="s">
        <v>226</v>
      </c>
      <c r="D20" s="24" t="s">
        <v>213</v>
      </c>
    </row>
    <row r="21" spans="1:4" x14ac:dyDescent="0.35">
      <c r="A21" s="25" t="s">
        <v>81</v>
      </c>
      <c r="B21">
        <v>70</v>
      </c>
      <c r="C21" s="39">
        <f t="shared" ref="C21:C38" si="1">B21/130</f>
        <v>0.53846153846153844</v>
      </c>
      <c r="D21" s="40">
        <v>0.41691842900302117</v>
      </c>
    </row>
    <row r="22" spans="1:4" x14ac:dyDescent="0.35">
      <c r="A22" s="25" t="s">
        <v>82</v>
      </c>
      <c r="B22">
        <v>67</v>
      </c>
      <c r="C22" s="39">
        <f t="shared" si="1"/>
        <v>0.51538461538461533</v>
      </c>
      <c r="D22" s="40">
        <v>0.47432024169184289</v>
      </c>
    </row>
    <row r="23" spans="1:4" x14ac:dyDescent="0.35">
      <c r="A23" s="25" t="s">
        <v>122</v>
      </c>
      <c r="B23">
        <v>51</v>
      </c>
      <c r="C23" s="39">
        <f t="shared" si="1"/>
        <v>0.3923076923076923</v>
      </c>
      <c r="D23" s="40">
        <v>0.30211480362537763</v>
      </c>
    </row>
    <row r="24" spans="1:4" x14ac:dyDescent="0.35">
      <c r="A24" s="25" t="s">
        <v>80</v>
      </c>
      <c r="B24">
        <v>43</v>
      </c>
      <c r="C24" s="39">
        <f t="shared" si="1"/>
        <v>0.33076923076923076</v>
      </c>
      <c r="D24" s="40">
        <v>0.24471299093655588</v>
      </c>
    </row>
    <row r="25" spans="1:4" x14ac:dyDescent="0.35">
      <c r="A25" s="25" t="s">
        <v>124</v>
      </c>
      <c r="B25">
        <v>26</v>
      </c>
      <c r="C25" s="39">
        <f t="shared" si="1"/>
        <v>0.2</v>
      </c>
      <c r="D25" s="40">
        <v>0.14803625377643503</v>
      </c>
    </row>
    <row r="26" spans="1:4" x14ac:dyDescent="0.35">
      <c r="A26" s="25" t="s">
        <v>79</v>
      </c>
      <c r="B26">
        <v>24</v>
      </c>
      <c r="C26" s="39">
        <f t="shared" si="1"/>
        <v>0.18461538461538463</v>
      </c>
      <c r="D26" s="40">
        <v>0.15709969788519637</v>
      </c>
    </row>
    <row r="27" spans="1:4" x14ac:dyDescent="0.35">
      <c r="A27" s="25" t="s">
        <v>86</v>
      </c>
      <c r="B27">
        <v>24</v>
      </c>
      <c r="C27" s="39">
        <f t="shared" si="1"/>
        <v>0.18461538461538463</v>
      </c>
      <c r="D27" s="40">
        <v>0.2175226586102719</v>
      </c>
    </row>
    <row r="28" spans="1:4" x14ac:dyDescent="0.35">
      <c r="A28" s="25" t="s">
        <v>123</v>
      </c>
      <c r="B28">
        <v>18</v>
      </c>
      <c r="C28" s="39">
        <f t="shared" si="1"/>
        <v>0.13846153846153847</v>
      </c>
      <c r="D28" s="40">
        <v>0.17522658610271905</v>
      </c>
    </row>
    <row r="29" spans="1:4" x14ac:dyDescent="0.35">
      <c r="A29" s="25" t="s">
        <v>78</v>
      </c>
      <c r="B29">
        <v>15</v>
      </c>
      <c r="C29" s="39">
        <f t="shared" si="1"/>
        <v>0.11538461538461539</v>
      </c>
      <c r="D29" s="40">
        <v>8.4592145015105744E-2</v>
      </c>
    </row>
    <row r="30" spans="1:4" x14ac:dyDescent="0.35">
      <c r="A30" s="25" t="s">
        <v>77</v>
      </c>
      <c r="B30">
        <v>13</v>
      </c>
      <c r="C30" s="39">
        <f t="shared" si="1"/>
        <v>0.1</v>
      </c>
      <c r="D30" s="40">
        <v>7.5528700906344406E-2</v>
      </c>
    </row>
    <row r="31" spans="1:4" x14ac:dyDescent="0.35">
      <c r="A31" s="25" t="s">
        <v>125</v>
      </c>
      <c r="B31">
        <v>10</v>
      </c>
      <c r="C31" s="39">
        <f t="shared" si="1"/>
        <v>7.6923076923076927E-2</v>
      </c>
      <c r="D31" s="40">
        <v>8.1570996978851965E-2</v>
      </c>
    </row>
    <row r="32" spans="1:4" x14ac:dyDescent="0.35">
      <c r="A32" s="25" t="s">
        <v>126</v>
      </c>
      <c r="B32">
        <v>6</v>
      </c>
      <c r="C32" s="39">
        <f t="shared" si="1"/>
        <v>4.6153846153846156E-2</v>
      </c>
      <c r="D32" s="40">
        <v>6.6465256797583083E-2</v>
      </c>
    </row>
    <row r="33" spans="1:4" x14ac:dyDescent="0.35">
      <c r="A33" s="25" t="s">
        <v>127</v>
      </c>
      <c r="B33">
        <v>4</v>
      </c>
      <c r="C33" s="39">
        <f t="shared" si="1"/>
        <v>3.0769230769230771E-2</v>
      </c>
      <c r="D33" s="40">
        <v>3.0211480362537766E-2</v>
      </c>
    </row>
    <row r="34" spans="1:4" x14ac:dyDescent="0.35">
      <c r="A34" s="25" t="s">
        <v>73</v>
      </c>
      <c r="B34">
        <v>2</v>
      </c>
      <c r="C34" s="39">
        <f t="shared" si="1"/>
        <v>1.5384615384615385E-2</v>
      </c>
      <c r="D34" s="40">
        <f>2/331</f>
        <v>6.0422960725075529E-3</v>
      </c>
    </row>
    <row r="35" spans="1:4" x14ac:dyDescent="0.35">
      <c r="A35" s="25" t="s">
        <v>76</v>
      </c>
      <c r="B35">
        <v>2</v>
      </c>
      <c r="C35" s="39">
        <f t="shared" si="1"/>
        <v>1.5384615384615385E-2</v>
      </c>
      <c r="D35" s="40">
        <f>3/331</f>
        <v>9.0634441087613302E-3</v>
      </c>
    </row>
    <row r="36" spans="1:4" x14ac:dyDescent="0.35">
      <c r="A36" s="25" t="s">
        <v>75</v>
      </c>
      <c r="B36">
        <v>1</v>
      </c>
      <c r="C36" s="39">
        <f t="shared" si="1"/>
        <v>7.6923076923076927E-3</v>
      </c>
      <c r="D36" s="40">
        <f>2/331</f>
        <v>6.0422960725075529E-3</v>
      </c>
    </row>
    <row r="37" spans="1:4" x14ac:dyDescent="0.35">
      <c r="A37" s="25" t="s">
        <v>74</v>
      </c>
      <c r="B37">
        <v>0</v>
      </c>
      <c r="C37" s="39">
        <f t="shared" si="1"/>
        <v>0</v>
      </c>
      <c r="D37" s="40">
        <v>6.0422960725075529E-3</v>
      </c>
    </row>
    <row r="38" spans="1:4" x14ac:dyDescent="0.35">
      <c r="A38" s="28" t="s">
        <v>128</v>
      </c>
      <c r="B38" s="29">
        <v>0</v>
      </c>
      <c r="C38" s="42">
        <f t="shared" si="1"/>
        <v>0</v>
      </c>
      <c r="D38" s="41">
        <v>1.2084592145015106E-2</v>
      </c>
    </row>
    <row r="40" spans="1:4" ht="29" x14ac:dyDescent="0.35">
      <c r="A40" s="34" t="s">
        <v>115</v>
      </c>
      <c r="B40" s="23" t="s">
        <v>225</v>
      </c>
      <c r="C40" s="23" t="s">
        <v>226</v>
      </c>
      <c r="D40" s="24" t="s">
        <v>213</v>
      </c>
    </row>
    <row r="41" spans="1:4" x14ac:dyDescent="0.35">
      <c r="A41" s="25" t="s">
        <v>116</v>
      </c>
      <c r="B41">
        <v>14</v>
      </c>
      <c r="C41" s="39">
        <f>B41/130</f>
        <v>0.1076923076923077</v>
      </c>
      <c r="D41" s="40">
        <v>8.1081081081081086E-2</v>
      </c>
    </row>
    <row r="42" spans="1:4" x14ac:dyDescent="0.35">
      <c r="A42" s="25" t="s">
        <v>117</v>
      </c>
      <c r="B42">
        <v>19</v>
      </c>
      <c r="C42" s="39">
        <f t="shared" ref="C42:C44" si="2">B42/130</f>
        <v>0.14615384615384616</v>
      </c>
      <c r="D42" s="40">
        <v>9.0090090090090086E-2</v>
      </c>
    </row>
    <row r="43" spans="1:4" x14ac:dyDescent="0.35">
      <c r="A43" s="25" t="s">
        <v>118</v>
      </c>
      <c r="B43">
        <v>46</v>
      </c>
      <c r="C43" s="39">
        <f t="shared" si="2"/>
        <v>0.35384615384615387</v>
      </c>
      <c r="D43" s="40">
        <v>0.38438438438438438</v>
      </c>
    </row>
    <row r="44" spans="1:4" x14ac:dyDescent="0.35">
      <c r="A44" s="28" t="s">
        <v>119</v>
      </c>
      <c r="B44" s="29">
        <v>51</v>
      </c>
      <c r="C44" s="42">
        <f t="shared" si="2"/>
        <v>0.3923076923076923</v>
      </c>
      <c r="D44" s="41">
        <v>0.44144144144144143</v>
      </c>
    </row>
    <row r="46" spans="1:4" ht="43.5" x14ac:dyDescent="0.35">
      <c r="A46" s="34" t="s">
        <v>145</v>
      </c>
      <c r="B46" s="23" t="s">
        <v>225</v>
      </c>
      <c r="C46" s="23" t="s">
        <v>226</v>
      </c>
      <c r="D46" s="24" t="s">
        <v>213</v>
      </c>
    </row>
    <row r="47" spans="1:4" x14ac:dyDescent="0.35">
      <c r="A47" s="25" t="s">
        <v>143</v>
      </c>
      <c r="B47">
        <v>34</v>
      </c>
      <c r="C47" s="39">
        <f>B47/130</f>
        <v>0.26153846153846155</v>
      </c>
      <c r="D47" s="40">
        <v>0.26586102719033233</v>
      </c>
    </row>
    <row r="48" spans="1:4" x14ac:dyDescent="0.35">
      <c r="A48" s="28" t="s">
        <v>144</v>
      </c>
      <c r="B48" s="29">
        <v>96</v>
      </c>
      <c r="C48" s="42">
        <f>B48/130</f>
        <v>0.7384615384615385</v>
      </c>
      <c r="D48" s="41">
        <v>0.73413897280966767</v>
      </c>
    </row>
    <row r="50" spans="1:4" ht="29" x14ac:dyDescent="0.35">
      <c r="A50" s="34" t="s">
        <v>105</v>
      </c>
      <c r="B50" s="23" t="s">
        <v>225</v>
      </c>
      <c r="C50" s="23" t="s">
        <v>226</v>
      </c>
      <c r="D50" s="24" t="s">
        <v>213</v>
      </c>
    </row>
    <row r="51" spans="1:4" x14ac:dyDescent="0.35">
      <c r="A51" s="25" t="s">
        <v>107</v>
      </c>
      <c r="B51">
        <v>11</v>
      </c>
      <c r="C51" s="39">
        <f>B51/130</f>
        <v>8.461538461538462E-2</v>
      </c>
      <c r="D51" s="40">
        <v>6.3444108761329304E-2</v>
      </c>
    </row>
    <row r="52" spans="1:4" x14ac:dyDescent="0.35">
      <c r="A52" s="25" t="s">
        <v>108</v>
      </c>
      <c r="B52">
        <v>4</v>
      </c>
      <c r="C52" s="39">
        <f t="shared" ref="C52:C58" si="3">B52/130</f>
        <v>3.0769230769230771E-2</v>
      </c>
      <c r="D52" s="40">
        <v>3.3232628398791542E-2</v>
      </c>
    </row>
    <row r="53" spans="1:4" x14ac:dyDescent="0.35">
      <c r="A53" s="25" t="s">
        <v>109</v>
      </c>
      <c r="B53">
        <v>4</v>
      </c>
      <c r="C53" s="39">
        <f t="shared" si="3"/>
        <v>3.0769230769230771E-2</v>
      </c>
      <c r="D53" s="40">
        <v>3.9274924471299093E-2</v>
      </c>
    </row>
    <row r="54" spans="1:4" x14ac:dyDescent="0.35">
      <c r="A54" s="25" t="s">
        <v>110</v>
      </c>
      <c r="B54">
        <v>20</v>
      </c>
      <c r="C54" s="39">
        <f t="shared" si="3"/>
        <v>0.15384615384615385</v>
      </c>
      <c r="D54" s="40">
        <v>0.11480362537764351</v>
      </c>
    </row>
    <row r="55" spans="1:4" x14ac:dyDescent="0.35">
      <c r="A55" s="25" t="s">
        <v>111</v>
      </c>
      <c r="B55">
        <v>26</v>
      </c>
      <c r="C55" s="39">
        <f t="shared" si="3"/>
        <v>0.2</v>
      </c>
      <c r="D55" s="40">
        <v>0.18731117824773413</v>
      </c>
    </row>
    <row r="56" spans="1:4" x14ac:dyDescent="0.35">
      <c r="A56" s="25" t="s">
        <v>112</v>
      </c>
      <c r="B56">
        <v>13</v>
      </c>
      <c r="C56" s="39">
        <f t="shared" si="3"/>
        <v>0.1</v>
      </c>
      <c r="D56" s="40">
        <v>0.10574018126888217</v>
      </c>
    </row>
    <row r="57" spans="1:4" x14ac:dyDescent="0.35">
      <c r="A57" s="25" t="s">
        <v>113</v>
      </c>
      <c r="B57">
        <v>40</v>
      </c>
      <c r="C57" s="39">
        <f t="shared" si="3"/>
        <v>0.30769230769230771</v>
      </c>
      <c r="D57" s="40">
        <v>0.39577039274924469</v>
      </c>
    </row>
    <row r="58" spans="1:4" x14ac:dyDescent="0.35">
      <c r="A58" s="28" t="s">
        <v>114</v>
      </c>
      <c r="B58" s="29">
        <v>11</v>
      </c>
      <c r="C58" s="42">
        <f t="shared" si="3"/>
        <v>8.461538461538462E-2</v>
      </c>
      <c r="D58" s="41">
        <v>6.0422960725075532E-2</v>
      </c>
    </row>
    <row r="60" spans="1:4" ht="29" x14ac:dyDescent="0.35">
      <c r="A60" s="34" t="s">
        <v>154</v>
      </c>
      <c r="B60" s="23" t="s">
        <v>225</v>
      </c>
      <c r="C60" s="23" t="s">
        <v>226</v>
      </c>
      <c r="D60" s="24" t="s">
        <v>213</v>
      </c>
    </row>
    <row r="61" spans="1:4" x14ac:dyDescent="0.35">
      <c r="A61" s="25" t="s">
        <v>155</v>
      </c>
      <c r="B61">
        <v>88</v>
      </c>
      <c r="C61" s="31">
        <f>B61/130</f>
        <v>0.67692307692307696</v>
      </c>
      <c r="D61" s="27">
        <v>0.66767371601208458</v>
      </c>
    </row>
    <row r="62" spans="1:4" x14ac:dyDescent="0.35">
      <c r="A62" s="25" t="s">
        <v>156</v>
      </c>
      <c r="B62">
        <v>31</v>
      </c>
      <c r="C62" s="31">
        <f t="shared" ref="C62:C68" si="4">B62/130</f>
        <v>0.23846153846153847</v>
      </c>
      <c r="D62" s="27">
        <v>0.25377643504531722</v>
      </c>
    </row>
    <row r="63" spans="1:4" x14ac:dyDescent="0.35">
      <c r="A63" s="25" t="s">
        <v>158</v>
      </c>
      <c r="B63">
        <v>26</v>
      </c>
      <c r="C63" s="31">
        <f t="shared" si="4"/>
        <v>0.2</v>
      </c>
      <c r="D63" s="27">
        <v>0.14501510574018128</v>
      </c>
    </row>
    <row r="64" spans="1:4" x14ac:dyDescent="0.35">
      <c r="A64" s="25" t="s">
        <v>157</v>
      </c>
      <c r="B64">
        <v>20</v>
      </c>
      <c r="C64" s="31">
        <f t="shared" si="4"/>
        <v>0.15384615384615385</v>
      </c>
      <c r="D64" s="27">
        <v>0.15105740181268881</v>
      </c>
    </row>
    <row r="65" spans="1:4" x14ac:dyDescent="0.35">
      <c r="A65" s="25" t="s">
        <v>159</v>
      </c>
      <c r="B65">
        <v>16</v>
      </c>
      <c r="C65" s="31">
        <f t="shared" si="4"/>
        <v>0.12307692307692308</v>
      </c>
      <c r="D65" s="27">
        <v>0.12688821752265861</v>
      </c>
    </row>
    <row r="66" spans="1:4" x14ac:dyDescent="0.35">
      <c r="A66" s="25" t="s">
        <v>160</v>
      </c>
      <c r="B66">
        <v>14</v>
      </c>
      <c r="C66" s="31">
        <f t="shared" si="4"/>
        <v>0.1076923076923077</v>
      </c>
      <c r="D66" s="27">
        <v>0.10574018126888217</v>
      </c>
    </row>
    <row r="67" spans="1:4" x14ac:dyDescent="0.35">
      <c r="A67" s="25" t="s">
        <v>161</v>
      </c>
      <c r="B67">
        <v>10</v>
      </c>
      <c r="C67" s="31">
        <f t="shared" si="4"/>
        <v>7.6923076923076927E-2</v>
      </c>
      <c r="D67" s="27">
        <v>7.8549848942598186E-2</v>
      </c>
    </row>
    <row r="68" spans="1:4" x14ac:dyDescent="0.35">
      <c r="A68" s="28" t="s">
        <v>162</v>
      </c>
      <c r="B68" s="29">
        <v>1</v>
      </c>
      <c r="C68" s="32">
        <f t="shared" si="4"/>
        <v>7.6923076923076927E-3</v>
      </c>
      <c r="D68" s="33">
        <v>1.2084592145015106E-2</v>
      </c>
    </row>
    <row r="70" spans="1:4" ht="43.5" x14ac:dyDescent="0.35">
      <c r="A70" s="34" t="s">
        <v>146</v>
      </c>
      <c r="B70" s="23" t="s">
        <v>225</v>
      </c>
      <c r="C70" s="23" t="s">
        <v>226</v>
      </c>
      <c r="D70" s="24" t="s">
        <v>213</v>
      </c>
    </row>
    <row r="71" spans="1:4" x14ac:dyDescent="0.35">
      <c r="A71" s="25" t="s">
        <v>147</v>
      </c>
      <c r="B71">
        <v>110</v>
      </c>
      <c r="C71" s="39">
        <f>B71/130</f>
        <v>0.84615384615384615</v>
      </c>
      <c r="D71" s="40">
        <v>0.83383685800604235</v>
      </c>
    </row>
    <row r="72" spans="1:4" x14ac:dyDescent="0.35">
      <c r="A72" s="25" t="s">
        <v>148</v>
      </c>
      <c r="B72">
        <v>50</v>
      </c>
      <c r="C72" s="39">
        <f t="shared" ref="C72:C73" si="5">B72/130</f>
        <v>0.38461538461538464</v>
      </c>
      <c r="D72" s="40">
        <v>0.38368580060422963</v>
      </c>
    </row>
    <row r="73" spans="1:4" x14ac:dyDescent="0.35">
      <c r="A73" s="28" t="s">
        <v>89</v>
      </c>
      <c r="B73" s="29">
        <v>14</v>
      </c>
      <c r="C73" s="42">
        <f t="shared" si="5"/>
        <v>0.1076923076923077</v>
      </c>
      <c r="D73" s="41">
        <v>0.12084592145015106</v>
      </c>
    </row>
    <row r="75" spans="1:4" ht="87" x14ac:dyDescent="0.35">
      <c r="A75" s="34" t="s">
        <v>149</v>
      </c>
      <c r="B75" s="23" t="s">
        <v>225</v>
      </c>
      <c r="C75" s="23" t="s">
        <v>226</v>
      </c>
      <c r="D75" s="24" t="s">
        <v>213</v>
      </c>
    </row>
    <row r="76" spans="1:4" x14ac:dyDescent="0.35">
      <c r="A76" s="25" t="s">
        <v>150</v>
      </c>
      <c r="B76">
        <v>74</v>
      </c>
      <c r="C76" s="39">
        <f>B76/130</f>
        <v>0.56923076923076921</v>
      </c>
      <c r="D76" s="40">
        <v>0.45015105740181272</v>
      </c>
    </row>
    <row r="77" spans="1:4" x14ac:dyDescent="0.35">
      <c r="A77" s="25" t="s">
        <v>152</v>
      </c>
      <c r="B77">
        <v>55</v>
      </c>
      <c r="C77" s="39">
        <f t="shared" ref="C77:C79" si="6">B77/130</f>
        <v>0.42307692307692307</v>
      </c>
      <c r="D77" s="40">
        <v>0.52567975830815705</v>
      </c>
    </row>
    <row r="78" spans="1:4" x14ac:dyDescent="0.35">
      <c r="A78" s="25" t="s">
        <v>151</v>
      </c>
      <c r="B78">
        <v>93</v>
      </c>
      <c r="C78" s="39">
        <f t="shared" si="6"/>
        <v>0.7153846153846154</v>
      </c>
      <c r="D78" s="40">
        <v>0.58308157099697888</v>
      </c>
    </row>
    <row r="79" spans="1:4" x14ac:dyDescent="0.35">
      <c r="A79" s="28" t="s">
        <v>153</v>
      </c>
      <c r="B79" s="29">
        <v>34</v>
      </c>
      <c r="C79" s="42">
        <f t="shared" si="6"/>
        <v>0.26153846153846155</v>
      </c>
      <c r="D79" s="41">
        <v>0.38368580060422963</v>
      </c>
    </row>
    <row r="81" spans="1:4" ht="43.5" x14ac:dyDescent="0.35">
      <c r="A81" s="34" t="s">
        <v>163</v>
      </c>
      <c r="B81" s="23" t="s">
        <v>225</v>
      </c>
      <c r="C81" s="23" t="s">
        <v>226</v>
      </c>
      <c r="D81" s="24" t="s">
        <v>213</v>
      </c>
    </row>
    <row r="82" spans="1:4" x14ac:dyDescent="0.35">
      <c r="A82" s="25" t="s">
        <v>165</v>
      </c>
      <c r="B82">
        <v>64</v>
      </c>
      <c r="C82" s="39">
        <f>B82/130</f>
        <v>0.49230769230769234</v>
      </c>
      <c r="D82" s="40">
        <v>0.38670694864048338</v>
      </c>
    </row>
    <row r="83" spans="1:4" x14ac:dyDescent="0.35">
      <c r="A83" s="25" t="s">
        <v>164</v>
      </c>
      <c r="B83">
        <v>56</v>
      </c>
      <c r="C83" s="39">
        <f t="shared" ref="C83:C95" si="7">B83/130</f>
        <v>0.43076923076923079</v>
      </c>
      <c r="D83" s="40">
        <v>0.39274924471299094</v>
      </c>
    </row>
    <row r="84" spans="1:4" x14ac:dyDescent="0.35">
      <c r="A84" s="25" t="s">
        <v>166</v>
      </c>
      <c r="B84">
        <v>36</v>
      </c>
      <c r="C84" s="39">
        <f t="shared" si="7"/>
        <v>0.27692307692307694</v>
      </c>
      <c r="D84" s="40">
        <v>0.23262839879154079</v>
      </c>
    </row>
    <row r="85" spans="1:4" x14ac:dyDescent="0.35">
      <c r="A85" s="25" t="s">
        <v>167</v>
      </c>
      <c r="B85">
        <v>35</v>
      </c>
      <c r="C85" s="39">
        <f t="shared" si="7"/>
        <v>0.26923076923076922</v>
      </c>
      <c r="D85" s="40">
        <v>0.22658610271903323</v>
      </c>
    </row>
    <row r="86" spans="1:4" x14ac:dyDescent="0.35">
      <c r="A86" s="25" t="s">
        <v>169</v>
      </c>
      <c r="B86">
        <v>34</v>
      </c>
      <c r="C86" s="39">
        <f t="shared" si="7"/>
        <v>0.26153846153846155</v>
      </c>
      <c r="D86" s="40">
        <v>0.19637462235649547</v>
      </c>
    </row>
    <row r="87" spans="1:4" x14ac:dyDescent="0.35">
      <c r="A87" s="25" t="s">
        <v>168</v>
      </c>
      <c r="B87">
        <v>28</v>
      </c>
      <c r="C87" s="39">
        <f t="shared" si="7"/>
        <v>0.2153846153846154</v>
      </c>
      <c r="D87" s="40">
        <v>0.2175226586102719</v>
      </c>
    </row>
    <row r="88" spans="1:4" x14ac:dyDescent="0.35">
      <c r="A88" s="25" t="s">
        <v>171</v>
      </c>
      <c r="B88">
        <v>27</v>
      </c>
      <c r="C88" s="39">
        <f t="shared" si="7"/>
        <v>0.2076923076923077</v>
      </c>
      <c r="D88" s="40">
        <v>0.15105740181268881</v>
      </c>
    </row>
    <row r="89" spans="1:4" x14ac:dyDescent="0.35">
      <c r="A89" s="25" t="s">
        <v>170</v>
      </c>
      <c r="B89">
        <v>24</v>
      </c>
      <c r="C89" s="39">
        <f t="shared" si="7"/>
        <v>0.18461538461538463</v>
      </c>
      <c r="D89" s="40">
        <v>0.16314199395770393</v>
      </c>
    </row>
    <row r="90" spans="1:4" x14ac:dyDescent="0.35">
      <c r="A90" s="25" t="s">
        <v>172</v>
      </c>
      <c r="B90">
        <v>9</v>
      </c>
      <c r="C90" s="39">
        <f t="shared" si="7"/>
        <v>6.9230769230769235E-2</v>
      </c>
      <c r="D90" s="40">
        <v>5.7401812688821753E-2</v>
      </c>
    </row>
    <row r="91" spans="1:4" x14ac:dyDescent="0.35">
      <c r="A91" s="25" t="s">
        <v>173</v>
      </c>
      <c r="B91">
        <v>4</v>
      </c>
      <c r="C91" s="39">
        <f t="shared" si="7"/>
        <v>3.0769230769230771E-2</v>
      </c>
      <c r="D91" s="40">
        <v>5.1359516616314202E-2</v>
      </c>
    </row>
    <row r="92" spans="1:4" x14ac:dyDescent="0.35">
      <c r="A92" s="25" t="s">
        <v>175</v>
      </c>
      <c r="B92">
        <v>3</v>
      </c>
      <c r="C92" s="39">
        <f t="shared" si="7"/>
        <v>2.3076923076923078E-2</v>
      </c>
      <c r="D92" s="40">
        <v>1.812688821752266E-2</v>
      </c>
    </row>
    <row r="93" spans="1:4" x14ac:dyDescent="0.35">
      <c r="A93" s="25" t="s">
        <v>176</v>
      </c>
      <c r="B93">
        <v>2</v>
      </c>
      <c r="C93" s="39">
        <f t="shared" si="7"/>
        <v>1.5384615384615385E-2</v>
      </c>
      <c r="D93" s="40">
        <v>9.0634441087613302E-3</v>
      </c>
    </row>
    <row r="94" spans="1:4" x14ac:dyDescent="0.35">
      <c r="A94" s="25" t="s">
        <v>174</v>
      </c>
      <c r="B94">
        <v>1</v>
      </c>
      <c r="C94" s="39">
        <f t="shared" si="7"/>
        <v>7.6923076923076927E-3</v>
      </c>
      <c r="D94" s="40">
        <v>2.4169184290030211E-2</v>
      </c>
    </row>
    <row r="95" spans="1:4" x14ac:dyDescent="0.35">
      <c r="A95" s="28" t="s">
        <v>177</v>
      </c>
      <c r="B95" s="29">
        <v>1</v>
      </c>
      <c r="C95" s="42">
        <f t="shared" si="7"/>
        <v>7.6923076923076927E-3</v>
      </c>
      <c r="D95" s="41">
        <v>6.0422960725075529E-3</v>
      </c>
    </row>
    <row r="97" spans="1:4" ht="29" x14ac:dyDescent="0.35">
      <c r="A97" s="34" t="s">
        <v>94</v>
      </c>
      <c r="B97" s="23" t="s">
        <v>225</v>
      </c>
      <c r="C97" s="23" t="s">
        <v>226</v>
      </c>
      <c r="D97" s="24" t="s">
        <v>213</v>
      </c>
    </row>
    <row r="98" spans="1:4" x14ac:dyDescent="0.35">
      <c r="A98" s="25" t="s">
        <v>87</v>
      </c>
      <c r="B98">
        <v>26</v>
      </c>
      <c r="C98" s="39">
        <f>B98/130</f>
        <v>0.2</v>
      </c>
      <c r="D98" s="40">
        <v>0.12386706948640483</v>
      </c>
    </row>
    <row r="99" spans="1:4" x14ac:dyDescent="0.35">
      <c r="A99" s="25" t="s">
        <v>88</v>
      </c>
      <c r="B99">
        <v>43</v>
      </c>
      <c r="C99" s="39">
        <f t="shared" ref="C99:C101" si="8">B99/130</f>
        <v>0.33076923076923076</v>
      </c>
      <c r="D99" s="40">
        <v>0.25679758308157102</v>
      </c>
    </row>
    <row r="100" spans="1:4" x14ac:dyDescent="0.35">
      <c r="A100" s="25" t="s">
        <v>89</v>
      </c>
      <c r="B100">
        <v>30</v>
      </c>
      <c r="C100" s="39">
        <f t="shared" si="8"/>
        <v>0.23076923076923078</v>
      </c>
      <c r="D100" s="40">
        <v>0.2809667673716012</v>
      </c>
    </row>
    <row r="101" spans="1:4" x14ac:dyDescent="0.35">
      <c r="A101" s="28" t="s">
        <v>90</v>
      </c>
      <c r="B101" s="29">
        <v>41</v>
      </c>
      <c r="C101" s="42">
        <f t="shared" si="8"/>
        <v>0.31538461538461537</v>
      </c>
      <c r="D101" s="41">
        <v>0.30513595166163143</v>
      </c>
    </row>
  </sheetData>
  <sheetProtection algorithmName="SHA-512" hashValue="FhIi+QSeR+uS4PjkZknKTbDqGxiSXju6S4bVLEkhwUnz9CJkT0/R3kwuKyTw/IvcOzwWTUBY8/YG0wBB/eoPdw==" saltValue="hGgQBCtErXNxlbSrAeyFlg==" spinCount="100000" sheet="1" objects="1" scenarios="1"/>
  <sortState xmlns:xlrd2="http://schemas.microsoft.com/office/spreadsheetml/2017/richdata2" ref="A82:D95">
    <sortCondition descending="1" ref="B82:B95"/>
  </sortState>
  <conditionalFormatting sqref="C13:D19">
    <cfRule type="colorScale" priority="10">
      <colorScale>
        <cfvo type="min"/>
        <cfvo type="percentile" val="50"/>
        <cfvo type="max"/>
        <color rgb="FFF8696B"/>
        <color rgb="FFFFEB84"/>
        <color rgb="FF63BE7B"/>
      </colorScale>
    </cfRule>
  </conditionalFormatting>
  <conditionalFormatting sqref="C21:D38">
    <cfRule type="colorScale" priority="8">
      <colorScale>
        <cfvo type="min"/>
        <cfvo type="percentile" val="50"/>
        <cfvo type="max"/>
        <color rgb="FFF8696B"/>
        <color rgb="FFFFEB84"/>
        <color rgb="FF63BE7B"/>
      </colorScale>
    </cfRule>
  </conditionalFormatting>
  <conditionalFormatting sqref="C41:D44 C71:D73 C76:D79">
    <cfRule type="colorScale" priority="7">
      <colorScale>
        <cfvo type="min"/>
        <cfvo type="percentile" val="50"/>
        <cfvo type="max"/>
        <color rgb="FFF8696B"/>
        <color rgb="FFFFEB84"/>
        <color rgb="FF63BE7B"/>
      </colorScale>
    </cfRule>
  </conditionalFormatting>
  <conditionalFormatting sqref="C41:D44">
    <cfRule type="colorScale" priority="3">
      <colorScale>
        <cfvo type="min"/>
        <cfvo type="percentile" val="50"/>
        <cfvo type="max"/>
        <color rgb="FFF8696B"/>
        <color rgb="FFFFEB84"/>
        <color rgb="FF63BE7B"/>
      </colorScale>
    </cfRule>
  </conditionalFormatting>
  <conditionalFormatting sqref="C47:D48">
    <cfRule type="colorScale" priority="4">
      <colorScale>
        <cfvo type="min"/>
        <cfvo type="percentile" val="50"/>
        <cfvo type="max"/>
        <color rgb="FFF8696B"/>
        <color rgb="FFFFEB84"/>
        <color rgb="FF63BE7B"/>
      </colorScale>
    </cfRule>
  </conditionalFormatting>
  <conditionalFormatting sqref="C51:D58 C98:D101">
    <cfRule type="colorScale" priority="5">
      <colorScale>
        <cfvo type="min"/>
        <cfvo type="percentile" val="50"/>
        <cfvo type="max"/>
        <color rgb="FFF8696B"/>
        <color rgb="FFFFEB84"/>
        <color rgb="FF63BE7B"/>
      </colorScale>
    </cfRule>
  </conditionalFormatting>
  <conditionalFormatting sqref="C61:D68">
    <cfRule type="colorScale" priority="9">
      <colorScale>
        <cfvo type="min"/>
        <cfvo type="percentile" val="50"/>
        <cfvo type="max"/>
        <color rgb="FFF8696B"/>
        <color rgb="FFFFEB84"/>
        <color rgb="FF63BE7B"/>
      </colorScale>
    </cfRule>
  </conditionalFormatting>
  <conditionalFormatting sqref="C76:D79">
    <cfRule type="colorScale" priority="2">
      <colorScale>
        <cfvo type="min"/>
        <cfvo type="percentile" val="50"/>
        <cfvo type="max"/>
        <color rgb="FFF8696B"/>
        <color rgb="FFFFEB84"/>
        <color rgb="FF63BE7B"/>
      </colorScale>
    </cfRule>
  </conditionalFormatting>
  <conditionalFormatting sqref="C82:D95">
    <cfRule type="colorScale" priority="6">
      <colorScale>
        <cfvo type="min"/>
        <cfvo type="percentile" val="50"/>
        <cfvo type="max"/>
        <color rgb="FFF8696B"/>
        <color rgb="FFFFEB84"/>
        <color rgb="FF63BE7B"/>
      </colorScale>
    </cfRule>
  </conditionalFormatting>
  <conditionalFormatting sqref="C98:D101">
    <cfRule type="colorScale" priority="1">
      <colorScale>
        <cfvo type="min"/>
        <cfvo type="percentile" val="50"/>
        <cfvo type="max"/>
        <color rgb="FFF8696B"/>
        <color rgb="FFFFEB84"/>
        <color rgb="FF63BE7B"/>
      </colorScale>
    </cfRule>
  </conditionalFormatting>
  <hyperlinks>
    <hyperlink ref="A1" location="Contents!A1" display="Back to contents page" xr:uid="{27E4BEE0-0564-4D80-BBB4-6AA31D7AEE4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1693E-CD2A-40C2-A4A8-3FC66113CCB2}">
  <dimension ref="A1:D102"/>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7" t="s">
        <v>18</v>
      </c>
    </row>
    <row r="2" spans="1:4" ht="15.5" x14ac:dyDescent="0.35">
      <c r="A2" s="50" t="s">
        <v>269</v>
      </c>
    </row>
    <row r="3" spans="1:4" x14ac:dyDescent="0.35">
      <c r="A3" s="53" t="s">
        <v>370</v>
      </c>
    </row>
    <row r="4" spans="1:4" x14ac:dyDescent="0.35">
      <c r="A4" s="3"/>
    </row>
    <row r="5" spans="1:4" ht="29" x14ac:dyDescent="0.35">
      <c r="A5" s="34" t="s">
        <v>222</v>
      </c>
      <c r="B5" s="23" t="s">
        <v>32</v>
      </c>
      <c r="C5" s="24" t="s">
        <v>33</v>
      </c>
    </row>
    <row r="6" spans="1:4" x14ac:dyDescent="0.35">
      <c r="A6" s="25" t="s">
        <v>34</v>
      </c>
      <c r="B6">
        <v>150</v>
      </c>
      <c r="C6" s="43">
        <f>B6/331</f>
        <v>0.45317220543806647</v>
      </c>
    </row>
    <row r="7" spans="1:4" x14ac:dyDescent="0.35">
      <c r="A7" s="25" t="s">
        <v>35</v>
      </c>
      <c r="B7">
        <v>130</v>
      </c>
      <c r="C7" s="43">
        <f>B7/331</f>
        <v>0.39274924471299094</v>
      </c>
    </row>
    <row r="8" spans="1:4" x14ac:dyDescent="0.35">
      <c r="A8" s="45" t="s">
        <v>227</v>
      </c>
      <c r="B8" s="46">
        <v>84</v>
      </c>
      <c r="C8" s="47">
        <f>B8/331</f>
        <v>0.25377643504531722</v>
      </c>
    </row>
    <row r="9" spans="1:4" x14ac:dyDescent="0.35">
      <c r="A9" s="25" t="s">
        <v>37</v>
      </c>
      <c r="B9">
        <v>78</v>
      </c>
      <c r="C9" s="43">
        <f>B9/331</f>
        <v>0.23564954682779457</v>
      </c>
    </row>
    <row r="10" spans="1:4" x14ac:dyDescent="0.35">
      <c r="A10" s="28" t="s">
        <v>38</v>
      </c>
      <c r="B10" s="29">
        <v>66</v>
      </c>
      <c r="C10" s="44">
        <f>B10/331</f>
        <v>0.19939577039274925</v>
      </c>
    </row>
    <row r="13" spans="1:4" ht="29" x14ac:dyDescent="0.35">
      <c r="A13" s="34" t="s">
        <v>19</v>
      </c>
      <c r="B13" s="23" t="s">
        <v>228</v>
      </c>
      <c r="C13" s="23" t="s">
        <v>229</v>
      </c>
      <c r="D13" s="24" t="s">
        <v>213</v>
      </c>
    </row>
    <row r="14" spans="1:4" x14ac:dyDescent="0.35">
      <c r="A14" s="25" t="s">
        <v>22</v>
      </c>
      <c r="B14">
        <v>0</v>
      </c>
      <c r="C14" s="31">
        <f t="shared" ref="C14:C19" si="0">B14/84</f>
        <v>0</v>
      </c>
      <c r="D14" s="27">
        <v>1.2084592145015106E-2</v>
      </c>
    </row>
    <row r="15" spans="1:4" x14ac:dyDescent="0.35">
      <c r="A15" s="25" t="s">
        <v>23</v>
      </c>
      <c r="B15">
        <v>12</v>
      </c>
      <c r="C15" s="31">
        <f t="shared" si="0"/>
        <v>0.14285714285714285</v>
      </c>
      <c r="D15" s="27">
        <v>0.11178247734138973</v>
      </c>
    </row>
    <row r="16" spans="1:4" x14ac:dyDescent="0.35">
      <c r="A16" s="25" t="s">
        <v>239</v>
      </c>
      <c r="B16">
        <v>34</v>
      </c>
      <c r="C16" s="31">
        <f t="shared" si="0"/>
        <v>0.40476190476190477</v>
      </c>
      <c r="D16" s="27">
        <v>0.54380664652567978</v>
      </c>
    </row>
    <row r="17" spans="1:4" x14ac:dyDescent="0.35">
      <c r="A17" s="25" t="s">
        <v>25</v>
      </c>
      <c r="B17">
        <v>30</v>
      </c>
      <c r="C17" s="31">
        <f t="shared" si="0"/>
        <v>0.35714285714285715</v>
      </c>
      <c r="D17" s="27">
        <v>0.25981873111782477</v>
      </c>
    </row>
    <row r="18" spans="1:4" x14ac:dyDescent="0.35">
      <c r="A18" s="25" t="s">
        <v>26</v>
      </c>
      <c r="B18">
        <v>8</v>
      </c>
      <c r="C18" s="31">
        <f t="shared" si="0"/>
        <v>9.5238095238095233E-2</v>
      </c>
      <c r="D18" s="27">
        <v>6.3444108761329304E-2</v>
      </c>
    </row>
    <row r="19" spans="1:4" x14ac:dyDescent="0.35">
      <c r="A19" s="28" t="s">
        <v>27</v>
      </c>
      <c r="B19" s="29">
        <v>0</v>
      </c>
      <c r="C19" s="32">
        <f t="shared" si="0"/>
        <v>0</v>
      </c>
      <c r="D19" s="33">
        <v>9.0634441087613302E-3</v>
      </c>
    </row>
    <row r="20" spans="1:4" x14ac:dyDescent="0.35">
      <c r="A20" s="25"/>
      <c r="C20" s="31"/>
      <c r="D20" s="27"/>
    </row>
    <row r="21" spans="1:4" ht="29" x14ac:dyDescent="0.35">
      <c r="A21" s="22" t="s">
        <v>83</v>
      </c>
      <c r="B21" s="23" t="s">
        <v>228</v>
      </c>
      <c r="C21" s="23" t="s">
        <v>229</v>
      </c>
      <c r="D21" s="24" t="s">
        <v>213</v>
      </c>
    </row>
    <row r="22" spans="1:4" x14ac:dyDescent="0.35">
      <c r="A22" s="25" t="s">
        <v>82</v>
      </c>
      <c r="B22">
        <v>46</v>
      </c>
      <c r="C22" s="39">
        <f t="shared" ref="C22:C39" si="1">B22/84</f>
        <v>0.54761904761904767</v>
      </c>
      <c r="D22" s="40">
        <v>0.47432024169184289</v>
      </c>
    </row>
    <row r="23" spans="1:4" x14ac:dyDescent="0.35">
      <c r="A23" s="25" t="s">
        <v>81</v>
      </c>
      <c r="B23">
        <v>45</v>
      </c>
      <c r="C23" s="39">
        <f t="shared" si="1"/>
        <v>0.5357142857142857</v>
      </c>
      <c r="D23" s="40">
        <v>0.41691842900302117</v>
      </c>
    </row>
    <row r="24" spans="1:4" x14ac:dyDescent="0.35">
      <c r="A24" s="25" t="s">
        <v>122</v>
      </c>
      <c r="B24">
        <v>28</v>
      </c>
      <c r="C24" s="39">
        <f t="shared" si="1"/>
        <v>0.33333333333333331</v>
      </c>
      <c r="D24" s="40">
        <v>0.30211480362537763</v>
      </c>
    </row>
    <row r="25" spans="1:4" x14ac:dyDescent="0.35">
      <c r="A25" s="25" t="s">
        <v>80</v>
      </c>
      <c r="B25">
        <v>21</v>
      </c>
      <c r="C25" s="39">
        <f t="shared" si="1"/>
        <v>0.25</v>
      </c>
      <c r="D25" s="40">
        <v>0.24471299093655588</v>
      </c>
    </row>
    <row r="26" spans="1:4" x14ac:dyDescent="0.35">
      <c r="A26" s="25" t="s">
        <v>79</v>
      </c>
      <c r="B26">
        <v>14</v>
      </c>
      <c r="C26" s="39">
        <f t="shared" si="1"/>
        <v>0.16666666666666666</v>
      </c>
      <c r="D26" s="40">
        <v>0.15709969788519637</v>
      </c>
    </row>
    <row r="27" spans="1:4" x14ac:dyDescent="0.35">
      <c r="A27" s="25" t="s">
        <v>124</v>
      </c>
      <c r="B27">
        <v>11</v>
      </c>
      <c r="C27" s="39">
        <f t="shared" si="1"/>
        <v>0.13095238095238096</v>
      </c>
      <c r="D27" s="40">
        <v>0.14803625377643503</v>
      </c>
    </row>
    <row r="28" spans="1:4" x14ac:dyDescent="0.35">
      <c r="A28" s="25" t="s">
        <v>123</v>
      </c>
      <c r="B28">
        <v>8</v>
      </c>
      <c r="C28" s="39">
        <f t="shared" si="1"/>
        <v>9.5238095238095233E-2</v>
      </c>
      <c r="D28" s="40">
        <v>0.17522658610271905</v>
      </c>
    </row>
    <row r="29" spans="1:4" x14ac:dyDescent="0.35">
      <c r="A29" s="25" t="s">
        <v>78</v>
      </c>
      <c r="B29">
        <v>7</v>
      </c>
      <c r="C29" s="39">
        <f t="shared" si="1"/>
        <v>8.3333333333333329E-2</v>
      </c>
      <c r="D29" s="40">
        <v>8.4592145015105744E-2</v>
      </c>
    </row>
    <row r="30" spans="1:4" x14ac:dyDescent="0.35">
      <c r="A30" s="25" t="s">
        <v>86</v>
      </c>
      <c r="B30">
        <v>7</v>
      </c>
      <c r="C30" s="39">
        <f t="shared" si="1"/>
        <v>8.3333333333333329E-2</v>
      </c>
      <c r="D30" s="40">
        <v>0.2175226586102719</v>
      </c>
    </row>
    <row r="31" spans="1:4" x14ac:dyDescent="0.35">
      <c r="A31" s="25" t="s">
        <v>77</v>
      </c>
      <c r="B31">
        <v>5</v>
      </c>
      <c r="C31" s="39">
        <f t="shared" si="1"/>
        <v>5.9523809523809521E-2</v>
      </c>
      <c r="D31" s="40">
        <v>7.5528700906344406E-2</v>
      </c>
    </row>
    <row r="32" spans="1:4" x14ac:dyDescent="0.35">
      <c r="A32" s="25" t="s">
        <v>127</v>
      </c>
      <c r="B32">
        <v>3</v>
      </c>
      <c r="C32" s="39">
        <f t="shared" si="1"/>
        <v>3.5714285714285712E-2</v>
      </c>
      <c r="D32" s="40">
        <v>3.0211480362537766E-2</v>
      </c>
    </row>
    <row r="33" spans="1:4" x14ac:dyDescent="0.35">
      <c r="A33" s="25" t="s">
        <v>125</v>
      </c>
      <c r="B33">
        <v>3</v>
      </c>
      <c r="C33" s="39">
        <f t="shared" si="1"/>
        <v>3.5714285714285712E-2</v>
      </c>
      <c r="D33" s="40">
        <v>8.1570996978851965E-2</v>
      </c>
    </row>
    <row r="34" spans="1:4" x14ac:dyDescent="0.35">
      <c r="A34" s="25" t="s">
        <v>128</v>
      </c>
      <c r="B34">
        <v>2</v>
      </c>
      <c r="C34" s="39">
        <f t="shared" si="1"/>
        <v>2.3809523809523808E-2</v>
      </c>
      <c r="D34" s="40">
        <v>1.2084592145015106E-2</v>
      </c>
    </row>
    <row r="35" spans="1:4" x14ac:dyDescent="0.35">
      <c r="A35" s="25" t="s">
        <v>73</v>
      </c>
      <c r="B35">
        <v>1</v>
      </c>
      <c r="C35" s="39">
        <f t="shared" si="1"/>
        <v>1.1904761904761904E-2</v>
      </c>
      <c r="D35" s="40">
        <f>2/331</f>
        <v>6.0422960725075529E-3</v>
      </c>
    </row>
    <row r="36" spans="1:4" x14ac:dyDescent="0.35">
      <c r="A36" s="25" t="s">
        <v>76</v>
      </c>
      <c r="B36">
        <v>1</v>
      </c>
      <c r="C36" s="39">
        <f t="shared" si="1"/>
        <v>1.1904761904761904E-2</v>
      </c>
      <c r="D36" s="40">
        <f>3/331</f>
        <v>9.0634441087613302E-3</v>
      </c>
    </row>
    <row r="37" spans="1:4" x14ac:dyDescent="0.35">
      <c r="A37" s="25" t="s">
        <v>74</v>
      </c>
      <c r="B37">
        <v>1</v>
      </c>
      <c r="C37" s="39">
        <f t="shared" si="1"/>
        <v>1.1904761904761904E-2</v>
      </c>
      <c r="D37" s="40">
        <v>6.0422960725075529E-3</v>
      </c>
    </row>
    <row r="38" spans="1:4" x14ac:dyDescent="0.35">
      <c r="A38" s="25" t="s">
        <v>126</v>
      </c>
      <c r="B38">
        <v>1</v>
      </c>
      <c r="C38" s="39">
        <f t="shared" si="1"/>
        <v>1.1904761904761904E-2</v>
      </c>
      <c r="D38" s="40">
        <v>6.6465256797583083E-2</v>
      </c>
    </row>
    <row r="39" spans="1:4" x14ac:dyDescent="0.35">
      <c r="A39" s="28" t="s">
        <v>75</v>
      </c>
      <c r="B39" s="29">
        <v>0</v>
      </c>
      <c r="C39" s="42">
        <f t="shared" si="1"/>
        <v>0</v>
      </c>
      <c r="D39" s="41">
        <f>2/331</f>
        <v>6.0422960725075529E-3</v>
      </c>
    </row>
    <row r="41" spans="1:4" ht="29" x14ac:dyDescent="0.35">
      <c r="A41" s="34" t="s">
        <v>115</v>
      </c>
      <c r="B41" s="23" t="s">
        <v>228</v>
      </c>
      <c r="C41" s="23" t="s">
        <v>229</v>
      </c>
      <c r="D41" s="24" t="s">
        <v>213</v>
      </c>
    </row>
    <row r="42" spans="1:4" x14ac:dyDescent="0.35">
      <c r="A42" s="25" t="s">
        <v>116</v>
      </c>
      <c r="B42">
        <v>12</v>
      </c>
      <c r="C42" s="39">
        <f>B42/84</f>
        <v>0.14285714285714285</v>
      </c>
      <c r="D42" s="40">
        <v>8.1081081081081086E-2</v>
      </c>
    </row>
    <row r="43" spans="1:4" x14ac:dyDescent="0.35">
      <c r="A43" s="25" t="s">
        <v>117</v>
      </c>
      <c r="B43">
        <v>8</v>
      </c>
      <c r="C43" s="39">
        <f>B43/84</f>
        <v>9.5238095238095233E-2</v>
      </c>
      <c r="D43" s="40">
        <v>9.0090090090090086E-2</v>
      </c>
    </row>
    <row r="44" spans="1:4" x14ac:dyDescent="0.35">
      <c r="A44" s="25" t="s">
        <v>118</v>
      </c>
      <c r="B44">
        <v>30</v>
      </c>
      <c r="C44" s="39">
        <f>B44/84</f>
        <v>0.35714285714285715</v>
      </c>
      <c r="D44" s="40">
        <v>0.38438438438438438</v>
      </c>
    </row>
    <row r="45" spans="1:4" x14ac:dyDescent="0.35">
      <c r="A45" s="28" t="s">
        <v>119</v>
      </c>
      <c r="B45" s="29">
        <v>34</v>
      </c>
      <c r="C45" s="42">
        <f>B45/84</f>
        <v>0.40476190476190477</v>
      </c>
      <c r="D45" s="41">
        <v>0.44144144144144143</v>
      </c>
    </row>
    <row r="47" spans="1:4" ht="43.5" x14ac:dyDescent="0.35">
      <c r="A47" s="34" t="s">
        <v>145</v>
      </c>
      <c r="B47" s="23" t="s">
        <v>228</v>
      </c>
      <c r="C47" s="23" t="s">
        <v>229</v>
      </c>
      <c r="D47" s="24" t="s">
        <v>213</v>
      </c>
    </row>
    <row r="48" spans="1:4" x14ac:dyDescent="0.35">
      <c r="A48" s="25" t="s">
        <v>143</v>
      </c>
      <c r="B48">
        <v>25</v>
      </c>
      <c r="C48" s="39">
        <f>B48/84</f>
        <v>0.29761904761904762</v>
      </c>
      <c r="D48" s="40">
        <v>0.26586102719033233</v>
      </c>
    </row>
    <row r="49" spans="1:4" x14ac:dyDescent="0.35">
      <c r="A49" s="28" t="s">
        <v>144</v>
      </c>
      <c r="B49" s="29">
        <v>59</v>
      </c>
      <c r="C49" s="42">
        <f>B49/84</f>
        <v>0.70238095238095233</v>
      </c>
      <c r="D49" s="41">
        <v>0.73413897280966767</v>
      </c>
    </row>
    <row r="51" spans="1:4" ht="29" x14ac:dyDescent="0.35">
      <c r="A51" s="34" t="s">
        <v>105</v>
      </c>
      <c r="B51" s="23" t="s">
        <v>228</v>
      </c>
      <c r="C51" s="23" t="s">
        <v>229</v>
      </c>
      <c r="D51" s="24" t="s">
        <v>213</v>
      </c>
    </row>
    <row r="52" spans="1:4" x14ac:dyDescent="0.35">
      <c r="A52" s="25" t="s">
        <v>107</v>
      </c>
      <c r="B52">
        <v>6</v>
      </c>
      <c r="C52" s="39">
        <f t="shared" ref="C52:C59" si="2">B52/84</f>
        <v>7.1428571428571425E-2</v>
      </c>
      <c r="D52" s="40">
        <v>6.3444108761329304E-2</v>
      </c>
    </row>
    <row r="53" spans="1:4" x14ac:dyDescent="0.35">
      <c r="A53" s="25" t="s">
        <v>108</v>
      </c>
      <c r="B53">
        <v>2</v>
      </c>
      <c r="C53" s="39">
        <f t="shared" si="2"/>
        <v>2.3809523809523808E-2</v>
      </c>
      <c r="D53" s="40">
        <v>3.3232628398791542E-2</v>
      </c>
    </row>
    <row r="54" spans="1:4" x14ac:dyDescent="0.35">
      <c r="A54" s="25" t="s">
        <v>109</v>
      </c>
      <c r="B54">
        <v>4</v>
      </c>
      <c r="C54" s="39">
        <f t="shared" si="2"/>
        <v>4.7619047619047616E-2</v>
      </c>
      <c r="D54" s="40">
        <v>3.9274924471299093E-2</v>
      </c>
    </row>
    <row r="55" spans="1:4" x14ac:dyDescent="0.35">
      <c r="A55" s="25" t="s">
        <v>110</v>
      </c>
      <c r="B55">
        <v>7</v>
      </c>
      <c r="C55" s="39">
        <f t="shared" si="2"/>
        <v>8.3333333333333329E-2</v>
      </c>
      <c r="D55" s="40">
        <v>0.11480362537764351</v>
      </c>
    </row>
    <row r="56" spans="1:4" x14ac:dyDescent="0.35">
      <c r="A56" s="25" t="s">
        <v>111</v>
      </c>
      <c r="B56">
        <v>13</v>
      </c>
      <c r="C56" s="39">
        <f t="shared" si="2"/>
        <v>0.15476190476190477</v>
      </c>
      <c r="D56" s="40">
        <v>0.18731117824773413</v>
      </c>
    </row>
    <row r="57" spans="1:4" x14ac:dyDescent="0.35">
      <c r="A57" s="25" t="s">
        <v>112</v>
      </c>
      <c r="B57">
        <v>11</v>
      </c>
      <c r="C57" s="39">
        <f t="shared" si="2"/>
        <v>0.13095238095238096</v>
      </c>
      <c r="D57" s="40">
        <v>0.10574018126888217</v>
      </c>
    </row>
    <row r="58" spans="1:4" x14ac:dyDescent="0.35">
      <c r="A58" s="25" t="s">
        <v>113</v>
      </c>
      <c r="B58">
        <v>36</v>
      </c>
      <c r="C58" s="39">
        <f t="shared" si="2"/>
        <v>0.42857142857142855</v>
      </c>
      <c r="D58" s="40">
        <v>0.39577039274924469</v>
      </c>
    </row>
    <row r="59" spans="1:4" x14ac:dyDescent="0.35">
      <c r="A59" s="28" t="s">
        <v>114</v>
      </c>
      <c r="B59" s="29">
        <v>4</v>
      </c>
      <c r="C59" s="42">
        <f t="shared" si="2"/>
        <v>4.7619047619047616E-2</v>
      </c>
      <c r="D59" s="41">
        <v>6.0422960725075532E-2</v>
      </c>
    </row>
    <row r="61" spans="1:4" ht="29" x14ac:dyDescent="0.35">
      <c r="A61" s="34" t="s">
        <v>154</v>
      </c>
      <c r="B61" s="23" t="s">
        <v>228</v>
      </c>
      <c r="C61" s="23" t="s">
        <v>229</v>
      </c>
      <c r="D61" s="24" t="s">
        <v>213</v>
      </c>
    </row>
    <row r="62" spans="1:4" x14ac:dyDescent="0.35">
      <c r="A62" s="25" t="s">
        <v>155</v>
      </c>
      <c r="B62">
        <v>62</v>
      </c>
      <c r="C62" s="39">
        <f t="shared" ref="C62:C69" si="3">B62/84</f>
        <v>0.73809523809523814</v>
      </c>
      <c r="D62" s="40">
        <v>0.66767371601208458</v>
      </c>
    </row>
    <row r="63" spans="1:4" x14ac:dyDescent="0.35">
      <c r="A63" s="25" t="s">
        <v>156</v>
      </c>
      <c r="B63">
        <v>20</v>
      </c>
      <c r="C63" s="39">
        <f t="shared" si="3"/>
        <v>0.23809523809523808</v>
      </c>
      <c r="D63" s="40">
        <v>0.25377643504531722</v>
      </c>
    </row>
    <row r="64" spans="1:4" x14ac:dyDescent="0.35">
      <c r="A64" s="25" t="s">
        <v>157</v>
      </c>
      <c r="B64">
        <v>16</v>
      </c>
      <c r="C64" s="39">
        <f t="shared" si="3"/>
        <v>0.19047619047619047</v>
      </c>
      <c r="D64" s="40">
        <v>0.15105740181268881</v>
      </c>
    </row>
    <row r="65" spans="1:4" x14ac:dyDescent="0.35">
      <c r="A65" s="25" t="s">
        <v>158</v>
      </c>
      <c r="B65">
        <v>12</v>
      </c>
      <c r="C65" s="39">
        <f t="shared" si="3"/>
        <v>0.14285714285714285</v>
      </c>
      <c r="D65" s="40">
        <v>0.14501510574018128</v>
      </c>
    </row>
    <row r="66" spans="1:4" x14ac:dyDescent="0.35">
      <c r="A66" s="25" t="s">
        <v>160</v>
      </c>
      <c r="B66">
        <v>12</v>
      </c>
      <c r="C66" s="39">
        <f t="shared" si="3"/>
        <v>0.14285714285714285</v>
      </c>
      <c r="D66" s="40">
        <v>0.10574018126888217</v>
      </c>
    </row>
    <row r="67" spans="1:4" x14ac:dyDescent="0.35">
      <c r="A67" s="25" t="s">
        <v>159</v>
      </c>
      <c r="B67">
        <v>8</v>
      </c>
      <c r="C67" s="39">
        <f t="shared" si="3"/>
        <v>9.5238095238095233E-2</v>
      </c>
      <c r="D67" s="40">
        <v>0.12688821752265861</v>
      </c>
    </row>
    <row r="68" spans="1:4" x14ac:dyDescent="0.35">
      <c r="A68" s="25" t="s">
        <v>161</v>
      </c>
      <c r="B68">
        <v>8</v>
      </c>
      <c r="C68" s="39">
        <f t="shared" si="3"/>
        <v>9.5238095238095233E-2</v>
      </c>
      <c r="D68" s="40">
        <v>7.8549848942598186E-2</v>
      </c>
    </row>
    <row r="69" spans="1:4" x14ac:dyDescent="0.35">
      <c r="A69" s="28" t="s">
        <v>162</v>
      </c>
      <c r="B69" s="29">
        <v>1</v>
      </c>
      <c r="C69" s="42">
        <f t="shared" si="3"/>
        <v>1.1904761904761904E-2</v>
      </c>
      <c r="D69" s="41">
        <v>1.2084592145015106E-2</v>
      </c>
    </row>
    <row r="71" spans="1:4" ht="43.5" x14ac:dyDescent="0.35">
      <c r="A71" s="34" t="s">
        <v>146</v>
      </c>
      <c r="B71" s="23" t="s">
        <v>228</v>
      </c>
      <c r="C71" s="23" t="s">
        <v>229</v>
      </c>
      <c r="D71" s="24" t="s">
        <v>213</v>
      </c>
    </row>
    <row r="72" spans="1:4" x14ac:dyDescent="0.35">
      <c r="A72" s="25" t="s">
        <v>147</v>
      </c>
      <c r="B72">
        <v>72</v>
      </c>
      <c r="C72" s="39">
        <f>B72/84</f>
        <v>0.8571428571428571</v>
      </c>
      <c r="D72" s="40">
        <v>0.83383685800604235</v>
      </c>
    </row>
    <row r="73" spans="1:4" x14ac:dyDescent="0.35">
      <c r="A73" s="25" t="s">
        <v>148</v>
      </c>
      <c r="B73">
        <v>34</v>
      </c>
      <c r="C73" s="39">
        <f>B73/84</f>
        <v>0.40476190476190477</v>
      </c>
      <c r="D73" s="40">
        <v>0.38368580060422963</v>
      </c>
    </row>
    <row r="74" spans="1:4" x14ac:dyDescent="0.35">
      <c r="A74" s="28" t="s">
        <v>89</v>
      </c>
      <c r="B74" s="29">
        <v>8</v>
      </c>
      <c r="C74" s="42">
        <f>B74/84</f>
        <v>9.5238095238095233E-2</v>
      </c>
      <c r="D74" s="41">
        <v>0.12084592145015106</v>
      </c>
    </row>
    <row r="76" spans="1:4" ht="87" x14ac:dyDescent="0.35">
      <c r="A76" s="34" t="s">
        <v>149</v>
      </c>
      <c r="B76" s="23" t="s">
        <v>228</v>
      </c>
      <c r="C76" s="23" t="s">
        <v>229</v>
      </c>
      <c r="D76" s="24" t="s">
        <v>213</v>
      </c>
    </row>
    <row r="77" spans="1:4" x14ac:dyDescent="0.35">
      <c r="A77" s="25" t="s">
        <v>150</v>
      </c>
      <c r="B77">
        <v>40</v>
      </c>
      <c r="C77" s="39">
        <f>B77/84</f>
        <v>0.47619047619047616</v>
      </c>
      <c r="D77" s="40">
        <v>0.45015105740181272</v>
      </c>
    </row>
    <row r="78" spans="1:4" x14ac:dyDescent="0.35">
      <c r="A78" s="25" t="s">
        <v>152</v>
      </c>
      <c r="B78">
        <v>42</v>
      </c>
      <c r="C78" s="39">
        <f>B78/84</f>
        <v>0.5</v>
      </c>
      <c r="D78" s="40">
        <v>0.52567975830815705</v>
      </c>
    </row>
    <row r="79" spans="1:4" x14ac:dyDescent="0.35">
      <c r="A79" s="25" t="s">
        <v>151</v>
      </c>
      <c r="B79">
        <v>57</v>
      </c>
      <c r="C79" s="39">
        <f>B79/84</f>
        <v>0.6785714285714286</v>
      </c>
      <c r="D79" s="40">
        <v>0.58308157099697888</v>
      </c>
    </row>
    <row r="80" spans="1:4" x14ac:dyDescent="0.35">
      <c r="A80" s="28" t="s">
        <v>153</v>
      </c>
      <c r="B80" s="29">
        <v>24</v>
      </c>
      <c r="C80" s="42">
        <f>B80/84</f>
        <v>0.2857142857142857</v>
      </c>
      <c r="D80" s="41">
        <v>0.38368580060422963</v>
      </c>
    </row>
    <row r="82" spans="1:4" ht="43.5" x14ac:dyDescent="0.35">
      <c r="A82" s="34" t="s">
        <v>163</v>
      </c>
      <c r="B82" s="23" t="s">
        <v>228</v>
      </c>
      <c r="C82" s="23" t="s">
        <v>229</v>
      </c>
      <c r="D82" s="24" t="s">
        <v>213</v>
      </c>
    </row>
    <row r="83" spans="1:4" x14ac:dyDescent="0.35">
      <c r="A83" s="25" t="s">
        <v>164</v>
      </c>
      <c r="B83">
        <v>35</v>
      </c>
      <c r="C83" s="39">
        <f t="shared" ref="C83:C96" si="4">B83/84</f>
        <v>0.41666666666666669</v>
      </c>
      <c r="D83" s="40">
        <v>0.39274924471299094</v>
      </c>
    </row>
    <row r="84" spans="1:4" x14ac:dyDescent="0.35">
      <c r="A84" s="25" t="s">
        <v>165</v>
      </c>
      <c r="B84">
        <v>29</v>
      </c>
      <c r="C84" s="39">
        <f t="shared" si="4"/>
        <v>0.34523809523809523</v>
      </c>
      <c r="D84" s="40">
        <v>0.38670694864048338</v>
      </c>
    </row>
    <row r="85" spans="1:4" x14ac:dyDescent="0.35">
      <c r="A85" s="25" t="s">
        <v>167</v>
      </c>
      <c r="B85">
        <v>23</v>
      </c>
      <c r="C85" s="39">
        <f t="shared" si="4"/>
        <v>0.27380952380952384</v>
      </c>
      <c r="D85" s="40">
        <v>0.22658610271903323</v>
      </c>
    </row>
    <row r="86" spans="1:4" x14ac:dyDescent="0.35">
      <c r="A86" s="25" t="s">
        <v>166</v>
      </c>
      <c r="B86">
        <v>19</v>
      </c>
      <c r="C86" s="39">
        <f t="shared" si="4"/>
        <v>0.22619047619047619</v>
      </c>
      <c r="D86" s="40">
        <v>0.23262839879154079</v>
      </c>
    </row>
    <row r="87" spans="1:4" x14ac:dyDescent="0.35">
      <c r="A87" s="25" t="s">
        <v>168</v>
      </c>
      <c r="B87">
        <v>19</v>
      </c>
      <c r="C87" s="39">
        <f t="shared" si="4"/>
        <v>0.22619047619047619</v>
      </c>
      <c r="D87" s="40">
        <v>0.2175226586102719</v>
      </c>
    </row>
    <row r="88" spans="1:4" x14ac:dyDescent="0.35">
      <c r="A88" s="25" t="s">
        <v>169</v>
      </c>
      <c r="B88">
        <v>17</v>
      </c>
      <c r="C88" s="39">
        <f t="shared" si="4"/>
        <v>0.20238095238095238</v>
      </c>
      <c r="D88" s="40">
        <v>0.19637462235649547</v>
      </c>
    </row>
    <row r="89" spans="1:4" x14ac:dyDescent="0.35">
      <c r="A89" s="25" t="s">
        <v>171</v>
      </c>
      <c r="B89">
        <v>16</v>
      </c>
      <c r="C89" s="39">
        <f t="shared" si="4"/>
        <v>0.19047619047619047</v>
      </c>
      <c r="D89" s="40">
        <v>0.15105740181268881</v>
      </c>
    </row>
    <row r="90" spans="1:4" x14ac:dyDescent="0.35">
      <c r="A90" s="25" t="s">
        <v>170</v>
      </c>
      <c r="B90">
        <v>15</v>
      </c>
      <c r="C90" s="39">
        <f t="shared" si="4"/>
        <v>0.17857142857142858</v>
      </c>
      <c r="D90" s="40">
        <v>0.16314199395770393</v>
      </c>
    </row>
    <row r="91" spans="1:4" x14ac:dyDescent="0.35">
      <c r="A91" s="25" t="s">
        <v>172</v>
      </c>
      <c r="B91">
        <v>3</v>
      </c>
      <c r="C91" s="39">
        <f t="shared" si="4"/>
        <v>3.5714285714285712E-2</v>
      </c>
      <c r="D91" s="40">
        <v>5.7401812688821753E-2</v>
      </c>
    </row>
    <row r="92" spans="1:4" x14ac:dyDescent="0.35">
      <c r="A92" s="25" t="s">
        <v>173</v>
      </c>
      <c r="B92">
        <v>3</v>
      </c>
      <c r="C92" s="39">
        <f t="shared" si="4"/>
        <v>3.5714285714285712E-2</v>
      </c>
      <c r="D92" s="40">
        <v>5.1359516616314202E-2</v>
      </c>
    </row>
    <row r="93" spans="1:4" x14ac:dyDescent="0.35">
      <c r="A93" s="25" t="s">
        <v>175</v>
      </c>
      <c r="B93">
        <v>2</v>
      </c>
      <c r="C93" s="39">
        <f t="shared" si="4"/>
        <v>2.3809523809523808E-2</v>
      </c>
      <c r="D93" s="40">
        <v>1.812688821752266E-2</v>
      </c>
    </row>
    <row r="94" spans="1:4" x14ac:dyDescent="0.35">
      <c r="A94" s="25" t="s">
        <v>176</v>
      </c>
      <c r="B94">
        <v>1</v>
      </c>
      <c r="C94" s="39">
        <f t="shared" si="4"/>
        <v>1.1904761904761904E-2</v>
      </c>
      <c r="D94" s="40">
        <v>9.0634441087613302E-3</v>
      </c>
    </row>
    <row r="95" spans="1:4" x14ac:dyDescent="0.35">
      <c r="A95" s="25" t="s">
        <v>174</v>
      </c>
      <c r="B95">
        <v>0</v>
      </c>
      <c r="C95" s="39">
        <f t="shared" si="4"/>
        <v>0</v>
      </c>
      <c r="D95" s="40">
        <v>2.4169184290030211E-2</v>
      </c>
    </row>
    <row r="96" spans="1:4" x14ac:dyDescent="0.35">
      <c r="A96" s="28" t="s">
        <v>177</v>
      </c>
      <c r="B96" s="29">
        <v>0</v>
      </c>
      <c r="C96" s="42">
        <f t="shared" si="4"/>
        <v>0</v>
      </c>
      <c r="D96" s="41">
        <v>6.0422960725075529E-3</v>
      </c>
    </row>
    <row r="98" spans="1:4" ht="29" x14ac:dyDescent="0.35">
      <c r="A98" s="34" t="s">
        <v>94</v>
      </c>
      <c r="B98" s="23" t="s">
        <v>228</v>
      </c>
      <c r="C98" s="23" t="s">
        <v>229</v>
      </c>
      <c r="D98" s="24" t="s">
        <v>213</v>
      </c>
    </row>
    <row r="99" spans="1:4" x14ac:dyDescent="0.35">
      <c r="A99" s="25" t="s">
        <v>87</v>
      </c>
      <c r="B99">
        <v>17</v>
      </c>
      <c r="C99" s="39">
        <f>B99/84</f>
        <v>0.20238095238095238</v>
      </c>
      <c r="D99" s="40">
        <v>0.12386706948640483</v>
      </c>
    </row>
    <row r="100" spans="1:4" x14ac:dyDescent="0.35">
      <c r="A100" s="25" t="s">
        <v>88</v>
      </c>
      <c r="B100">
        <v>23</v>
      </c>
      <c r="C100" s="39">
        <f>B100/84</f>
        <v>0.27380952380952384</v>
      </c>
      <c r="D100" s="40">
        <v>0.25679758308157102</v>
      </c>
    </row>
    <row r="101" spans="1:4" x14ac:dyDescent="0.35">
      <c r="A101" s="25" t="s">
        <v>89</v>
      </c>
      <c r="B101">
        <v>20</v>
      </c>
      <c r="C101" s="39">
        <f>B101/84</f>
        <v>0.23809523809523808</v>
      </c>
      <c r="D101" s="40">
        <v>0.2809667673716012</v>
      </c>
    </row>
    <row r="102" spans="1:4" x14ac:dyDescent="0.35">
      <c r="A102" s="28" t="s">
        <v>90</v>
      </c>
      <c r="B102" s="29">
        <v>28</v>
      </c>
      <c r="C102" s="42">
        <f>B102/84</f>
        <v>0.33333333333333331</v>
      </c>
      <c r="D102" s="41">
        <v>0.30513595166163143</v>
      </c>
    </row>
  </sheetData>
  <sheetProtection algorithmName="SHA-512" hashValue="pec1ABi4c86cB4Pbf5YEjn2zJ8/MDQaF84OxgE3pZ9r4l/iW73D4M3j8aX8GYFLIPPbEloFreI7Z4qlH/Uxirg==" saltValue="epZfMSY9LlgeXSUxf+0Gow==" spinCount="100000" sheet="1" objects="1" scenarios="1"/>
  <sortState xmlns:xlrd2="http://schemas.microsoft.com/office/spreadsheetml/2017/richdata2" ref="A83:D96">
    <sortCondition descending="1" ref="B83:B96"/>
  </sortState>
  <conditionalFormatting sqref="C14:D20">
    <cfRule type="colorScale" priority="10">
      <colorScale>
        <cfvo type="min"/>
        <cfvo type="percentile" val="50"/>
        <cfvo type="max"/>
        <color rgb="FFF8696B"/>
        <color rgb="FFFFEB84"/>
        <color rgb="FF63BE7B"/>
      </colorScale>
    </cfRule>
  </conditionalFormatting>
  <conditionalFormatting sqref="C22:D39">
    <cfRule type="colorScale" priority="8">
      <colorScale>
        <cfvo type="min"/>
        <cfvo type="percentile" val="50"/>
        <cfvo type="max"/>
        <color rgb="FFF8696B"/>
        <color rgb="FFFFEB84"/>
        <color rgb="FF63BE7B"/>
      </colorScale>
    </cfRule>
  </conditionalFormatting>
  <conditionalFormatting sqref="C42:D45">
    <cfRule type="colorScale" priority="3">
      <colorScale>
        <cfvo type="min"/>
        <cfvo type="percentile" val="50"/>
        <cfvo type="max"/>
        <color rgb="FFF8696B"/>
        <color rgb="FFFFEB84"/>
        <color rgb="FF63BE7B"/>
      </colorScale>
    </cfRule>
  </conditionalFormatting>
  <conditionalFormatting sqref="C48:D49">
    <cfRule type="colorScale" priority="4">
      <colorScale>
        <cfvo type="min"/>
        <cfvo type="percentile" val="50"/>
        <cfvo type="max"/>
        <color rgb="FFF8696B"/>
        <color rgb="FFFFEB84"/>
        <color rgb="FF63BE7B"/>
      </colorScale>
    </cfRule>
  </conditionalFormatting>
  <conditionalFormatting sqref="C62:D69">
    <cfRule type="colorScale" priority="9">
      <colorScale>
        <cfvo type="min"/>
        <cfvo type="percentile" val="50"/>
        <cfvo type="max"/>
        <color rgb="FFF8696B"/>
        <color rgb="FFFFEB84"/>
        <color rgb="FF63BE7B"/>
      </colorScale>
    </cfRule>
  </conditionalFormatting>
  <conditionalFormatting sqref="C77:D80 C72:D74 C42:D45">
    <cfRule type="colorScale" priority="7">
      <colorScale>
        <cfvo type="min"/>
        <cfvo type="percentile" val="50"/>
        <cfvo type="max"/>
        <color rgb="FFF8696B"/>
        <color rgb="FFFFEB84"/>
        <color rgb="FF63BE7B"/>
      </colorScale>
    </cfRule>
  </conditionalFormatting>
  <conditionalFormatting sqref="C77:D80">
    <cfRule type="colorScale" priority="2">
      <colorScale>
        <cfvo type="min"/>
        <cfvo type="percentile" val="50"/>
        <cfvo type="max"/>
        <color rgb="FFF8696B"/>
        <color rgb="FFFFEB84"/>
        <color rgb="FF63BE7B"/>
      </colorScale>
    </cfRule>
  </conditionalFormatting>
  <conditionalFormatting sqref="C83:D96">
    <cfRule type="colorScale" priority="6">
      <colorScale>
        <cfvo type="min"/>
        <cfvo type="percentile" val="50"/>
        <cfvo type="max"/>
        <color rgb="FFF8696B"/>
        <color rgb="FFFFEB84"/>
        <color rgb="FF63BE7B"/>
      </colorScale>
    </cfRule>
  </conditionalFormatting>
  <conditionalFormatting sqref="C99:D102 C52:D59">
    <cfRule type="colorScale" priority="5">
      <colorScale>
        <cfvo type="min"/>
        <cfvo type="percentile" val="50"/>
        <cfvo type="max"/>
        <color rgb="FFF8696B"/>
        <color rgb="FFFFEB84"/>
        <color rgb="FF63BE7B"/>
      </colorScale>
    </cfRule>
  </conditionalFormatting>
  <conditionalFormatting sqref="C99:D102">
    <cfRule type="colorScale" priority="1">
      <colorScale>
        <cfvo type="min"/>
        <cfvo type="percentile" val="50"/>
        <cfvo type="max"/>
        <color rgb="FFF8696B"/>
        <color rgb="FFFFEB84"/>
        <color rgb="FF63BE7B"/>
      </colorScale>
    </cfRule>
  </conditionalFormatting>
  <hyperlinks>
    <hyperlink ref="A1" location="Contents!A1" display="Back to contents page" xr:uid="{DE7632F6-D96E-4B80-84F1-348A9105563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1A5E5-C11C-47C7-8709-C5DA98065DC0}">
  <dimension ref="A1:D102"/>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7" t="s">
        <v>18</v>
      </c>
    </row>
    <row r="2" spans="1:4" ht="15.5" x14ac:dyDescent="0.35">
      <c r="A2" s="50" t="s">
        <v>270</v>
      </c>
    </row>
    <row r="3" spans="1:4" x14ac:dyDescent="0.35">
      <c r="A3" s="53" t="s">
        <v>370</v>
      </c>
    </row>
    <row r="4" spans="1:4" x14ac:dyDescent="0.35">
      <c r="A4" s="3"/>
    </row>
    <row r="5" spans="1:4" ht="29" x14ac:dyDescent="0.35">
      <c r="A5" s="34" t="s">
        <v>222</v>
      </c>
      <c r="B5" s="23" t="s">
        <v>32</v>
      </c>
      <c r="C5" s="24" t="s">
        <v>33</v>
      </c>
    </row>
    <row r="6" spans="1:4" x14ac:dyDescent="0.35">
      <c r="A6" s="25" t="s">
        <v>34</v>
      </c>
      <c r="B6">
        <v>150</v>
      </c>
      <c r="C6" s="43">
        <f>B6/331</f>
        <v>0.45317220543806647</v>
      </c>
    </row>
    <row r="7" spans="1:4" x14ac:dyDescent="0.35">
      <c r="A7" s="25" t="s">
        <v>35</v>
      </c>
      <c r="B7">
        <v>130</v>
      </c>
      <c r="C7" s="43">
        <f>B7/331</f>
        <v>0.39274924471299094</v>
      </c>
    </row>
    <row r="8" spans="1:4" x14ac:dyDescent="0.35">
      <c r="A8" s="25" t="s">
        <v>227</v>
      </c>
      <c r="B8">
        <v>84</v>
      </c>
      <c r="C8" s="43">
        <f>B8/331</f>
        <v>0.25377643504531722</v>
      </c>
    </row>
    <row r="9" spans="1:4" x14ac:dyDescent="0.35">
      <c r="A9" s="45" t="s">
        <v>37</v>
      </c>
      <c r="B9" s="46">
        <v>78</v>
      </c>
      <c r="C9" s="47">
        <f>B9/331</f>
        <v>0.23564954682779457</v>
      </c>
    </row>
    <row r="10" spans="1:4" x14ac:dyDescent="0.35">
      <c r="A10" s="28" t="s">
        <v>38</v>
      </c>
      <c r="B10" s="29">
        <v>66</v>
      </c>
      <c r="C10" s="44">
        <f>B10/331</f>
        <v>0.19939577039274925</v>
      </c>
    </row>
    <row r="13" spans="1:4" ht="29" x14ac:dyDescent="0.35">
      <c r="A13" s="34" t="s">
        <v>19</v>
      </c>
      <c r="B13" s="23" t="s">
        <v>230</v>
      </c>
      <c r="C13" s="23" t="s">
        <v>231</v>
      </c>
      <c r="D13" s="24" t="s">
        <v>213</v>
      </c>
    </row>
    <row r="14" spans="1:4" x14ac:dyDescent="0.35">
      <c r="A14" s="25" t="s">
        <v>22</v>
      </c>
      <c r="B14">
        <v>1</v>
      </c>
      <c r="C14" s="31">
        <f t="shared" ref="C14:C19" si="0">B14/78</f>
        <v>1.282051282051282E-2</v>
      </c>
      <c r="D14" s="27">
        <v>1.2084592145015106E-2</v>
      </c>
    </row>
    <row r="15" spans="1:4" x14ac:dyDescent="0.35">
      <c r="A15" s="25" t="s">
        <v>23</v>
      </c>
      <c r="B15">
        <v>14</v>
      </c>
      <c r="C15" s="31">
        <f t="shared" si="0"/>
        <v>0.17948717948717949</v>
      </c>
      <c r="D15" s="27">
        <v>0.11178247734138973</v>
      </c>
    </row>
    <row r="16" spans="1:4" x14ac:dyDescent="0.35">
      <c r="A16" s="25" t="s">
        <v>239</v>
      </c>
      <c r="B16">
        <v>40</v>
      </c>
      <c r="C16" s="31">
        <f t="shared" si="0"/>
        <v>0.51282051282051277</v>
      </c>
      <c r="D16" s="27">
        <v>0.54380664652567978</v>
      </c>
    </row>
    <row r="17" spans="1:4" x14ac:dyDescent="0.35">
      <c r="A17" s="25" t="s">
        <v>25</v>
      </c>
      <c r="B17">
        <v>19</v>
      </c>
      <c r="C17" s="31">
        <f t="shared" si="0"/>
        <v>0.24358974358974358</v>
      </c>
      <c r="D17" s="27">
        <v>0.25981873111782477</v>
      </c>
    </row>
    <row r="18" spans="1:4" x14ac:dyDescent="0.35">
      <c r="A18" s="25" t="s">
        <v>26</v>
      </c>
      <c r="B18">
        <v>4</v>
      </c>
      <c r="C18" s="31">
        <f t="shared" si="0"/>
        <v>5.128205128205128E-2</v>
      </c>
      <c r="D18" s="27">
        <v>6.3444108761329304E-2</v>
      </c>
    </row>
    <row r="19" spans="1:4" x14ac:dyDescent="0.35">
      <c r="A19" s="28" t="s">
        <v>27</v>
      </c>
      <c r="B19" s="29">
        <v>0</v>
      </c>
      <c r="C19" s="32">
        <f t="shared" si="0"/>
        <v>0</v>
      </c>
      <c r="D19" s="33">
        <v>9.0634441087613302E-3</v>
      </c>
    </row>
    <row r="20" spans="1:4" x14ac:dyDescent="0.35">
      <c r="A20" s="25"/>
      <c r="C20" s="31"/>
      <c r="D20" s="27"/>
    </row>
    <row r="21" spans="1:4" ht="29" x14ac:dyDescent="0.35">
      <c r="A21" s="22" t="s">
        <v>83</v>
      </c>
      <c r="B21" s="23" t="s">
        <v>230</v>
      </c>
      <c r="C21" s="23" t="s">
        <v>231</v>
      </c>
      <c r="D21" s="24" t="s">
        <v>213</v>
      </c>
    </row>
    <row r="22" spans="1:4" x14ac:dyDescent="0.35">
      <c r="A22" s="25" t="s">
        <v>82</v>
      </c>
      <c r="B22">
        <v>41</v>
      </c>
      <c r="C22" s="39">
        <f t="shared" ref="C22:C39" si="1">B22/78</f>
        <v>0.52564102564102566</v>
      </c>
      <c r="D22" s="40">
        <v>0.47432024169184289</v>
      </c>
    </row>
    <row r="23" spans="1:4" x14ac:dyDescent="0.35">
      <c r="A23" s="25" t="s">
        <v>81</v>
      </c>
      <c r="B23">
        <v>30</v>
      </c>
      <c r="C23" s="39">
        <f t="shared" si="1"/>
        <v>0.38461538461538464</v>
      </c>
      <c r="D23" s="40">
        <v>0.41691842900302117</v>
      </c>
    </row>
    <row r="24" spans="1:4" x14ac:dyDescent="0.35">
      <c r="A24" s="25" t="s">
        <v>80</v>
      </c>
      <c r="B24">
        <v>23</v>
      </c>
      <c r="C24" s="39">
        <f t="shared" si="1"/>
        <v>0.29487179487179488</v>
      </c>
      <c r="D24" s="40">
        <v>0.24471299093655588</v>
      </c>
    </row>
    <row r="25" spans="1:4" x14ac:dyDescent="0.35">
      <c r="A25" s="25" t="s">
        <v>123</v>
      </c>
      <c r="B25">
        <v>21</v>
      </c>
      <c r="C25" s="39">
        <f t="shared" si="1"/>
        <v>0.26923076923076922</v>
      </c>
      <c r="D25" s="40">
        <v>0.17522658610271905</v>
      </c>
    </row>
    <row r="26" spans="1:4" x14ac:dyDescent="0.35">
      <c r="A26" s="25" t="s">
        <v>122</v>
      </c>
      <c r="B26">
        <v>21</v>
      </c>
      <c r="C26" s="39">
        <f t="shared" si="1"/>
        <v>0.26923076923076922</v>
      </c>
      <c r="D26" s="40">
        <v>0.30211480362537763</v>
      </c>
    </row>
    <row r="27" spans="1:4" x14ac:dyDescent="0.35">
      <c r="A27" s="25" t="s">
        <v>79</v>
      </c>
      <c r="B27">
        <v>17</v>
      </c>
      <c r="C27" s="39">
        <f t="shared" si="1"/>
        <v>0.21794871794871795</v>
      </c>
      <c r="D27" s="40">
        <v>0.15709969788519637</v>
      </c>
    </row>
    <row r="28" spans="1:4" x14ac:dyDescent="0.35">
      <c r="A28" s="25" t="s">
        <v>86</v>
      </c>
      <c r="B28">
        <v>15</v>
      </c>
      <c r="C28" s="39">
        <f t="shared" si="1"/>
        <v>0.19230769230769232</v>
      </c>
      <c r="D28" s="40">
        <v>0.2175226586102719</v>
      </c>
    </row>
    <row r="29" spans="1:4" x14ac:dyDescent="0.35">
      <c r="A29" s="25" t="s">
        <v>77</v>
      </c>
      <c r="B29">
        <v>7</v>
      </c>
      <c r="C29" s="39">
        <f t="shared" si="1"/>
        <v>8.9743589743589744E-2</v>
      </c>
      <c r="D29" s="40">
        <v>7.5528700906344406E-2</v>
      </c>
    </row>
    <row r="30" spans="1:4" x14ac:dyDescent="0.35">
      <c r="A30" s="25" t="s">
        <v>124</v>
      </c>
      <c r="B30">
        <v>7</v>
      </c>
      <c r="C30" s="39">
        <f t="shared" si="1"/>
        <v>8.9743589743589744E-2</v>
      </c>
      <c r="D30" s="40">
        <v>0.14803625377643503</v>
      </c>
    </row>
    <row r="31" spans="1:4" x14ac:dyDescent="0.35">
      <c r="A31" s="25" t="s">
        <v>126</v>
      </c>
      <c r="B31">
        <v>6</v>
      </c>
      <c r="C31" s="39">
        <f t="shared" si="1"/>
        <v>7.6923076923076927E-2</v>
      </c>
      <c r="D31" s="40">
        <v>6.6465256797583083E-2</v>
      </c>
    </row>
    <row r="32" spans="1:4" x14ac:dyDescent="0.35">
      <c r="A32" s="25" t="s">
        <v>125</v>
      </c>
      <c r="B32">
        <v>6</v>
      </c>
      <c r="C32" s="39">
        <f t="shared" si="1"/>
        <v>7.6923076923076927E-2</v>
      </c>
      <c r="D32" s="40">
        <v>8.1570996978851965E-2</v>
      </c>
    </row>
    <row r="33" spans="1:4" x14ac:dyDescent="0.35">
      <c r="A33" s="25" t="s">
        <v>78</v>
      </c>
      <c r="B33">
        <v>6</v>
      </c>
      <c r="C33" s="39">
        <f t="shared" si="1"/>
        <v>7.6923076923076927E-2</v>
      </c>
      <c r="D33" s="40">
        <v>8.4592145015105744E-2</v>
      </c>
    </row>
    <row r="34" spans="1:4" x14ac:dyDescent="0.35">
      <c r="A34" s="25" t="s">
        <v>74</v>
      </c>
      <c r="B34">
        <v>2</v>
      </c>
      <c r="C34" s="39">
        <f t="shared" si="1"/>
        <v>2.564102564102564E-2</v>
      </c>
      <c r="D34" s="40">
        <v>6.0422960725075529E-3</v>
      </c>
    </row>
    <row r="35" spans="1:4" x14ac:dyDescent="0.35">
      <c r="A35" s="25" t="s">
        <v>128</v>
      </c>
      <c r="B35">
        <v>2</v>
      </c>
      <c r="C35" s="39">
        <f t="shared" si="1"/>
        <v>2.564102564102564E-2</v>
      </c>
      <c r="D35" s="40">
        <v>1.2084592145015106E-2</v>
      </c>
    </row>
    <row r="36" spans="1:4" x14ac:dyDescent="0.35">
      <c r="A36" s="25" t="s">
        <v>127</v>
      </c>
      <c r="B36">
        <v>2</v>
      </c>
      <c r="C36" s="39">
        <f t="shared" si="1"/>
        <v>2.564102564102564E-2</v>
      </c>
      <c r="D36" s="40">
        <v>3.0211480362537766E-2</v>
      </c>
    </row>
    <row r="37" spans="1:4" x14ac:dyDescent="0.35">
      <c r="A37" s="25" t="s">
        <v>73</v>
      </c>
      <c r="B37">
        <v>1</v>
      </c>
      <c r="C37" s="39">
        <f t="shared" si="1"/>
        <v>1.282051282051282E-2</v>
      </c>
      <c r="D37" s="40">
        <f>2/331</f>
        <v>6.0422960725075529E-3</v>
      </c>
    </row>
    <row r="38" spans="1:4" x14ac:dyDescent="0.35">
      <c r="A38" s="25" t="s">
        <v>76</v>
      </c>
      <c r="B38">
        <v>1</v>
      </c>
      <c r="C38" s="39">
        <f t="shared" si="1"/>
        <v>1.282051282051282E-2</v>
      </c>
      <c r="D38" s="40">
        <f>3/331</f>
        <v>9.0634441087613302E-3</v>
      </c>
    </row>
    <row r="39" spans="1:4" x14ac:dyDescent="0.35">
      <c r="A39" s="28" t="s">
        <v>75</v>
      </c>
      <c r="B39" s="29">
        <v>0</v>
      </c>
      <c r="C39" s="42">
        <f t="shared" si="1"/>
        <v>0</v>
      </c>
      <c r="D39" s="41">
        <f>2/331</f>
        <v>6.0422960725075529E-3</v>
      </c>
    </row>
    <row r="41" spans="1:4" ht="29" x14ac:dyDescent="0.35">
      <c r="A41" s="34" t="s">
        <v>115</v>
      </c>
      <c r="B41" s="23" t="s">
        <v>230</v>
      </c>
      <c r="C41" s="23" t="s">
        <v>231</v>
      </c>
      <c r="D41" s="24" t="s">
        <v>213</v>
      </c>
    </row>
    <row r="42" spans="1:4" x14ac:dyDescent="0.35">
      <c r="A42" s="25" t="s">
        <v>116</v>
      </c>
      <c r="B42">
        <v>3</v>
      </c>
      <c r="C42" s="39">
        <f>B42/78</f>
        <v>3.8461538461538464E-2</v>
      </c>
      <c r="D42" s="40">
        <v>8.1081081081081086E-2</v>
      </c>
    </row>
    <row r="43" spans="1:4" x14ac:dyDescent="0.35">
      <c r="A43" s="25" t="s">
        <v>117</v>
      </c>
      <c r="B43">
        <v>6</v>
      </c>
      <c r="C43" s="39">
        <f>B43/78</f>
        <v>7.6923076923076927E-2</v>
      </c>
      <c r="D43" s="40">
        <v>9.0090090090090086E-2</v>
      </c>
    </row>
    <row r="44" spans="1:4" x14ac:dyDescent="0.35">
      <c r="A44" s="25" t="s">
        <v>118</v>
      </c>
      <c r="B44">
        <v>33</v>
      </c>
      <c r="C44" s="39">
        <f>B44/78</f>
        <v>0.42307692307692307</v>
      </c>
      <c r="D44" s="40">
        <v>0.38438438438438438</v>
      </c>
    </row>
    <row r="45" spans="1:4" x14ac:dyDescent="0.35">
      <c r="A45" s="28" t="s">
        <v>119</v>
      </c>
      <c r="B45" s="29">
        <v>36</v>
      </c>
      <c r="C45" s="42">
        <f>B45/78</f>
        <v>0.46153846153846156</v>
      </c>
      <c r="D45" s="41">
        <v>0.44144144144144143</v>
      </c>
    </row>
    <row r="47" spans="1:4" ht="43.5" x14ac:dyDescent="0.35">
      <c r="A47" s="34" t="s">
        <v>145</v>
      </c>
      <c r="B47" s="23" t="s">
        <v>230</v>
      </c>
      <c r="C47" s="23" t="s">
        <v>231</v>
      </c>
      <c r="D47" s="24" t="s">
        <v>213</v>
      </c>
    </row>
    <row r="48" spans="1:4" x14ac:dyDescent="0.35">
      <c r="A48" s="25" t="s">
        <v>143</v>
      </c>
      <c r="B48">
        <v>17</v>
      </c>
      <c r="C48" s="39">
        <f>B48/78</f>
        <v>0.21794871794871795</v>
      </c>
      <c r="D48" s="40">
        <v>0.26586102719033233</v>
      </c>
    </row>
    <row r="49" spans="1:4" x14ac:dyDescent="0.35">
      <c r="A49" s="28" t="s">
        <v>144</v>
      </c>
      <c r="B49" s="29">
        <v>61</v>
      </c>
      <c r="C49" s="42">
        <f>B49/78</f>
        <v>0.78205128205128205</v>
      </c>
      <c r="D49" s="41">
        <v>0.73413897280966767</v>
      </c>
    </row>
    <row r="51" spans="1:4" ht="29" x14ac:dyDescent="0.35">
      <c r="A51" s="34" t="s">
        <v>105</v>
      </c>
      <c r="B51" s="23" t="s">
        <v>230</v>
      </c>
      <c r="C51" s="23" t="s">
        <v>231</v>
      </c>
      <c r="D51" s="24" t="s">
        <v>213</v>
      </c>
    </row>
    <row r="52" spans="1:4" x14ac:dyDescent="0.35">
      <c r="A52" s="25" t="s">
        <v>107</v>
      </c>
      <c r="B52">
        <v>4</v>
      </c>
      <c r="C52" s="39">
        <f t="shared" ref="C52:C59" si="2">B52/78</f>
        <v>5.128205128205128E-2</v>
      </c>
      <c r="D52" s="40">
        <v>6.3444108761329304E-2</v>
      </c>
    </row>
    <row r="53" spans="1:4" x14ac:dyDescent="0.35">
      <c r="A53" s="25" t="s">
        <v>108</v>
      </c>
      <c r="B53">
        <v>0</v>
      </c>
      <c r="C53" s="39">
        <f t="shared" si="2"/>
        <v>0</v>
      </c>
      <c r="D53" s="40">
        <v>3.3232628398791542E-2</v>
      </c>
    </row>
    <row r="54" spans="1:4" x14ac:dyDescent="0.35">
      <c r="A54" s="25" t="s">
        <v>109</v>
      </c>
      <c r="B54">
        <v>3</v>
      </c>
      <c r="C54" s="39">
        <f t="shared" si="2"/>
        <v>3.8461538461538464E-2</v>
      </c>
      <c r="D54" s="40">
        <v>3.9274924471299093E-2</v>
      </c>
    </row>
    <row r="55" spans="1:4" x14ac:dyDescent="0.35">
      <c r="A55" s="25" t="s">
        <v>110</v>
      </c>
      <c r="B55">
        <v>8</v>
      </c>
      <c r="C55" s="39">
        <f t="shared" si="2"/>
        <v>0.10256410256410256</v>
      </c>
      <c r="D55" s="40">
        <v>0.11480362537764351</v>
      </c>
    </row>
    <row r="56" spans="1:4" x14ac:dyDescent="0.35">
      <c r="A56" s="25" t="s">
        <v>111</v>
      </c>
      <c r="B56">
        <v>16</v>
      </c>
      <c r="C56" s="39">
        <f t="shared" si="2"/>
        <v>0.20512820512820512</v>
      </c>
      <c r="D56" s="40">
        <v>0.18731117824773413</v>
      </c>
    </row>
    <row r="57" spans="1:4" x14ac:dyDescent="0.35">
      <c r="A57" s="25" t="s">
        <v>112</v>
      </c>
      <c r="B57">
        <v>12</v>
      </c>
      <c r="C57" s="39">
        <f t="shared" si="2"/>
        <v>0.15384615384615385</v>
      </c>
      <c r="D57" s="40">
        <v>0.10574018126888217</v>
      </c>
    </row>
    <row r="58" spans="1:4" x14ac:dyDescent="0.35">
      <c r="A58" s="25" t="s">
        <v>113</v>
      </c>
      <c r="B58">
        <v>29</v>
      </c>
      <c r="C58" s="39">
        <f t="shared" si="2"/>
        <v>0.37179487179487181</v>
      </c>
      <c r="D58" s="40">
        <v>0.39577039274924469</v>
      </c>
    </row>
    <row r="59" spans="1:4" x14ac:dyDescent="0.35">
      <c r="A59" s="28" t="s">
        <v>114</v>
      </c>
      <c r="B59" s="29">
        <v>5</v>
      </c>
      <c r="C59" s="42">
        <f t="shared" si="2"/>
        <v>6.4102564102564097E-2</v>
      </c>
      <c r="D59" s="41">
        <v>6.0422960725075532E-2</v>
      </c>
    </row>
    <row r="61" spans="1:4" ht="29" x14ac:dyDescent="0.35">
      <c r="A61" s="34" t="s">
        <v>154</v>
      </c>
      <c r="B61" s="23" t="s">
        <v>230</v>
      </c>
      <c r="C61" s="23" t="s">
        <v>231</v>
      </c>
      <c r="D61" s="24" t="s">
        <v>213</v>
      </c>
    </row>
    <row r="62" spans="1:4" x14ac:dyDescent="0.35">
      <c r="A62" s="25" t="s">
        <v>155</v>
      </c>
      <c r="B62">
        <v>54</v>
      </c>
      <c r="C62" s="39">
        <f t="shared" ref="C62:C69" si="3">B62/78</f>
        <v>0.69230769230769229</v>
      </c>
      <c r="D62" s="40">
        <v>0.66767371601208458</v>
      </c>
    </row>
    <row r="63" spans="1:4" x14ac:dyDescent="0.35">
      <c r="A63" s="25" t="s">
        <v>156</v>
      </c>
      <c r="B63">
        <v>19</v>
      </c>
      <c r="C63" s="39">
        <f t="shared" si="3"/>
        <v>0.24358974358974358</v>
      </c>
      <c r="D63" s="40">
        <v>0.25377643504531722</v>
      </c>
    </row>
    <row r="64" spans="1:4" x14ac:dyDescent="0.35">
      <c r="A64" s="25" t="s">
        <v>157</v>
      </c>
      <c r="B64">
        <v>15</v>
      </c>
      <c r="C64" s="39">
        <f t="shared" si="3"/>
        <v>0.19230769230769232</v>
      </c>
      <c r="D64" s="40">
        <v>0.15105740181268881</v>
      </c>
    </row>
    <row r="65" spans="1:4" x14ac:dyDescent="0.35">
      <c r="A65" s="25" t="s">
        <v>159</v>
      </c>
      <c r="B65">
        <v>11</v>
      </c>
      <c r="C65" s="39">
        <f t="shared" si="3"/>
        <v>0.14102564102564102</v>
      </c>
      <c r="D65" s="40">
        <v>0.12688821752265861</v>
      </c>
    </row>
    <row r="66" spans="1:4" x14ac:dyDescent="0.35">
      <c r="A66" s="25" t="s">
        <v>158</v>
      </c>
      <c r="B66">
        <v>9</v>
      </c>
      <c r="C66" s="39">
        <f t="shared" si="3"/>
        <v>0.11538461538461539</v>
      </c>
      <c r="D66" s="40">
        <v>0.14501510574018128</v>
      </c>
    </row>
    <row r="67" spans="1:4" x14ac:dyDescent="0.35">
      <c r="A67" s="25" t="s">
        <v>160</v>
      </c>
      <c r="B67">
        <v>5</v>
      </c>
      <c r="C67" s="39">
        <f t="shared" si="3"/>
        <v>6.4102564102564097E-2</v>
      </c>
      <c r="D67" s="40">
        <v>0.10574018126888217</v>
      </c>
    </row>
    <row r="68" spans="1:4" x14ac:dyDescent="0.35">
      <c r="A68" s="25" t="s">
        <v>161</v>
      </c>
      <c r="B68">
        <v>4</v>
      </c>
      <c r="C68" s="39">
        <f t="shared" si="3"/>
        <v>5.128205128205128E-2</v>
      </c>
      <c r="D68" s="40">
        <v>7.8549848942598186E-2</v>
      </c>
    </row>
    <row r="69" spans="1:4" x14ac:dyDescent="0.35">
      <c r="A69" s="28" t="s">
        <v>162</v>
      </c>
      <c r="B69" s="29">
        <v>0</v>
      </c>
      <c r="C69" s="42">
        <f t="shared" si="3"/>
        <v>0</v>
      </c>
      <c r="D69" s="41">
        <v>1.2084592145015106E-2</v>
      </c>
    </row>
    <row r="71" spans="1:4" ht="43.5" x14ac:dyDescent="0.35">
      <c r="A71" s="34" t="s">
        <v>146</v>
      </c>
      <c r="B71" s="23" t="s">
        <v>230</v>
      </c>
      <c r="C71" s="23" t="s">
        <v>231</v>
      </c>
      <c r="D71" s="24" t="s">
        <v>213</v>
      </c>
    </row>
    <row r="72" spans="1:4" x14ac:dyDescent="0.35">
      <c r="A72" s="25" t="s">
        <v>147</v>
      </c>
      <c r="B72">
        <v>66</v>
      </c>
      <c r="C72" s="39">
        <f>B72/78</f>
        <v>0.84615384615384615</v>
      </c>
      <c r="D72" s="40">
        <v>0.83383685800604235</v>
      </c>
    </row>
    <row r="73" spans="1:4" x14ac:dyDescent="0.35">
      <c r="A73" s="25" t="s">
        <v>148</v>
      </c>
      <c r="B73">
        <v>33</v>
      </c>
      <c r="C73" s="39">
        <f>B73/78</f>
        <v>0.42307692307692307</v>
      </c>
      <c r="D73" s="40">
        <v>0.38368580060422963</v>
      </c>
    </row>
    <row r="74" spans="1:4" x14ac:dyDescent="0.35">
      <c r="A74" s="28" t="s">
        <v>89</v>
      </c>
      <c r="B74" s="29">
        <v>8</v>
      </c>
      <c r="C74" s="42">
        <f>B74/78</f>
        <v>0.10256410256410256</v>
      </c>
      <c r="D74" s="41">
        <v>0.12084592145015106</v>
      </c>
    </row>
    <row r="76" spans="1:4" ht="87" x14ac:dyDescent="0.35">
      <c r="A76" s="34" t="s">
        <v>149</v>
      </c>
      <c r="B76" s="23" t="s">
        <v>230</v>
      </c>
      <c r="C76" s="23" t="s">
        <v>231</v>
      </c>
      <c r="D76" s="24" t="s">
        <v>213</v>
      </c>
    </row>
    <row r="77" spans="1:4" x14ac:dyDescent="0.35">
      <c r="A77" s="25" t="s">
        <v>150</v>
      </c>
      <c r="B77">
        <v>45</v>
      </c>
      <c r="C77" s="39">
        <f>B77/78</f>
        <v>0.57692307692307687</v>
      </c>
      <c r="D77" s="40">
        <v>0.45015105740181272</v>
      </c>
    </row>
    <row r="78" spans="1:4" x14ac:dyDescent="0.35">
      <c r="A78" s="25" t="s">
        <v>152</v>
      </c>
      <c r="B78">
        <v>31</v>
      </c>
      <c r="C78" s="39">
        <f>B78/78</f>
        <v>0.39743589743589741</v>
      </c>
      <c r="D78" s="40">
        <v>0.52567975830815705</v>
      </c>
    </row>
    <row r="79" spans="1:4" x14ac:dyDescent="0.35">
      <c r="A79" s="25" t="s">
        <v>151</v>
      </c>
      <c r="B79">
        <v>55</v>
      </c>
      <c r="C79" s="39">
        <f>B79/78</f>
        <v>0.70512820512820518</v>
      </c>
      <c r="D79" s="40">
        <v>0.58308157099697888</v>
      </c>
    </row>
    <row r="80" spans="1:4" x14ac:dyDescent="0.35">
      <c r="A80" s="28" t="s">
        <v>153</v>
      </c>
      <c r="B80" s="29">
        <v>19</v>
      </c>
      <c r="C80" s="42">
        <f>B80/78</f>
        <v>0.24358974358974358</v>
      </c>
      <c r="D80" s="41">
        <v>0.38368580060422963</v>
      </c>
    </row>
    <row r="82" spans="1:4" ht="43.5" x14ac:dyDescent="0.35">
      <c r="A82" s="34" t="s">
        <v>163</v>
      </c>
      <c r="B82" s="23" t="s">
        <v>230</v>
      </c>
      <c r="C82" s="23" t="s">
        <v>231</v>
      </c>
      <c r="D82" s="24" t="s">
        <v>213</v>
      </c>
    </row>
    <row r="83" spans="1:4" x14ac:dyDescent="0.35">
      <c r="A83" s="25" t="s">
        <v>164</v>
      </c>
      <c r="B83">
        <v>40</v>
      </c>
      <c r="C83" s="39">
        <f t="shared" ref="C83:C96" si="4">B83/78</f>
        <v>0.51282051282051277</v>
      </c>
      <c r="D83" s="40">
        <v>0.39274924471299094</v>
      </c>
    </row>
    <row r="84" spans="1:4" x14ac:dyDescent="0.35">
      <c r="A84" s="25" t="s">
        <v>165</v>
      </c>
      <c r="B84">
        <v>36</v>
      </c>
      <c r="C84" s="39">
        <f t="shared" si="4"/>
        <v>0.46153846153846156</v>
      </c>
      <c r="D84" s="40">
        <v>0.38670694864048338</v>
      </c>
    </row>
    <row r="85" spans="1:4" x14ac:dyDescent="0.35">
      <c r="A85" s="25" t="s">
        <v>167</v>
      </c>
      <c r="B85">
        <v>28</v>
      </c>
      <c r="C85" s="39">
        <f t="shared" si="4"/>
        <v>0.35897435897435898</v>
      </c>
      <c r="D85" s="40">
        <v>0.22658610271903323</v>
      </c>
    </row>
    <row r="86" spans="1:4" x14ac:dyDescent="0.35">
      <c r="A86" s="25" t="s">
        <v>168</v>
      </c>
      <c r="B86">
        <v>23</v>
      </c>
      <c r="C86" s="39">
        <f t="shared" si="4"/>
        <v>0.29487179487179488</v>
      </c>
      <c r="D86" s="40">
        <v>0.2175226586102719</v>
      </c>
    </row>
    <row r="87" spans="1:4" x14ac:dyDescent="0.35">
      <c r="A87" s="25" t="s">
        <v>166</v>
      </c>
      <c r="B87">
        <v>22</v>
      </c>
      <c r="C87" s="39">
        <f t="shared" si="4"/>
        <v>0.28205128205128205</v>
      </c>
      <c r="D87" s="40">
        <v>0.23262839879154079</v>
      </c>
    </row>
    <row r="88" spans="1:4" x14ac:dyDescent="0.35">
      <c r="A88" s="25" t="s">
        <v>169</v>
      </c>
      <c r="B88">
        <v>17</v>
      </c>
      <c r="C88" s="39">
        <f t="shared" si="4"/>
        <v>0.21794871794871795</v>
      </c>
      <c r="D88" s="40">
        <v>0.19637462235649547</v>
      </c>
    </row>
    <row r="89" spans="1:4" x14ac:dyDescent="0.35">
      <c r="A89" s="25" t="s">
        <v>171</v>
      </c>
      <c r="B89">
        <v>14</v>
      </c>
      <c r="C89" s="39">
        <f t="shared" si="4"/>
        <v>0.17948717948717949</v>
      </c>
      <c r="D89" s="40">
        <v>0.15105740181268881</v>
      </c>
    </row>
    <row r="90" spans="1:4" x14ac:dyDescent="0.35">
      <c r="A90" s="25" t="s">
        <v>170</v>
      </c>
      <c r="B90">
        <v>7</v>
      </c>
      <c r="C90" s="39">
        <f t="shared" si="4"/>
        <v>8.9743589743589744E-2</v>
      </c>
      <c r="D90" s="40">
        <v>0.16314199395770393</v>
      </c>
    </row>
    <row r="91" spans="1:4" x14ac:dyDescent="0.35">
      <c r="A91" s="25" t="s">
        <v>172</v>
      </c>
      <c r="B91">
        <v>5</v>
      </c>
      <c r="C91" s="39">
        <f t="shared" si="4"/>
        <v>6.4102564102564097E-2</v>
      </c>
      <c r="D91" s="40">
        <v>5.7401812688821753E-2</v>
      </c>
    </row>
    <row r="92" spans="1:4" x14ac:dyDescent="0.35">
      <c r="A92" s="25" t="s">
        <v>173</v>
      </c>
      <c r="B92">
        <v>3</v>
      </c>
      <c r="C92" s="39">
        <f t="shared" si="4"/>
        <v>3.8461538461538464E-2</v>
      </c>
      <c r="D92" s="40">
        <v>5.1359516616314202E-2</v>
      </c>
    </row>
    <row r="93" spans="1:4" x14ac:dyDescent="0.35">
      <c r="A93" s="25" t="s">
        <v>174</v>
      </c>
      <c r="B93">
        <v>0</v>
      </c>
      <c r="C93" s="39">
        <f t="shared" si="4"/>
        <v>0</v>
      </c>
      <c r="D93" s="40">
        <v>2.4169184290030211E-2</v>
      </c>
    </row>
    <row r="94" spans="1:4" x14ac:dyDescent="0.35">
      <c r="A94" s="25" t="s">
        <v>175</v>
      </c>
      <c r="B94">
        <v>0</v>
      </c>
      <c r="C94" s="39">
        <f t="shared" si="4"/>
        <v>0</v>
      </c>
      <c r="D94" s="40">
        <v>1.812688821752266E-2</v>
      </c>
    </row>
    <row r="95" spans="1:4" x14ac:dyDescent="0.35">
      <c r="A95" s="25" t="s">
        <v>176</v>
      </c>
      <c r="B95">
        <v>0</v>
      </c>
      <c r="C95" s="39">
        <f t="shared" si="4"/>
        <v>0</v>
      </c>
      <c r="D95" s="40">
        <v>9.0634441087613302E-3</v>
      </c>
    </row>
    <row r="96" spans="1:4" x14ac:dyDescent="0.35">
      <c r="A96" s="28" t="s">
        <v>177</v>
      </c>
      <c r="B96" s="29">
        <v>0</v>
      </c>
      <c r="C96" s="42">
        <f t="shared" si="4"/>
        <v>0</v>
      </c>
      <c r="D96" s="41">
        <v>6.0422960725075529E-3</v>
      </c>
    </row>
    <row r="98" spans="1:4" ht="29" x14ac:dyDescent="0.35">
      <c r="A98" s="34" t="s">
        <v>94</v>
      </c>
      <c r="B98" s="23" t="s">
        <v>230</v>
      </c>
      <c r="C98" s="23" t="s">
        <v>231</v>
      </c>
      <c r="D98" s="24" t="s">
        <v>213</v>
      </c>
    </row>
    <row r="99" spans="1:4" x14ac:dyDescent="0.35">
      <c r="A99" s="25" t="s">
        <v>87</v>
      </c>
      <c r="B99">
        <v>7</v>
      </c>
      <c r="C99" s="39">
        <f>B99/78</f>
        <v>8.9743589743589744E-2</v>
      </c>
      <c r="D99" s="40">
        <v>0.12386706948640483</v>
      </c>
    </row>
    <row r="100" spans="1:4" x14ac:dyDescent="0.35">
      <c r="A100" s="25" t="s">
        <v>88</v>
      </c>
      <c r="B100">
        <v>27</v>
      </c>
      <c r="C100" s="39">
        <f>B100/78</f>
        <v>0.34615384615384615</v>
      </c>
      <c r="D100" s="40">
        <v>0.25679758308157102</v>
      </c>
    </row>
    <row r="101" spans="1:4" x14ac:dyDescent="0.35">
      <c r="A101" s="25" t="s">
        <v>89</v>
      </c>
      <c r="B101">
        <v>20</v>
      </c>
      <c r="C101" s="39">
        <f>B101/78</f>
        <v>0.25641025641025639</v>
      </c>
      <c r="D101" s="40">
        <v>0.2809667673716012</v>
      </c>
    </row>
    <row r="102" spans="1:4" x14ac:dyDescent="0.35">
      <c r="A102" s="28" t="s">
        <v>90</v>
      </c>
      <c r="B102" s="29">
        <v>33</v>
      </c>
      <c r="C102" s="42">
        <f>B102/78</f>
        <v>0.42307692307692307</v>
      </c>
      <c r="D102" s="41">
        <v>0.30513595166163143</v>
      </c>
    </row>
  </sheetData>
  <sheetProtection algorithmName="SHA-512" hashValue="CQYWJJ29lPyLGSuSr0YgjyeNvHPwJ/q55bOvH4lnA0SsdM1/ICgJCyB5+wqEMoYntCyKGMO6IPg0fB0TTFO27Q==" saltValue="FPdOcPAd+WuQ7IJK27QiWQ==" spinCount="100000" sheet="1" objects="1" scenarios="1"/>
  <sortState xmlns:xlrd2="http://schemas.microsoft.com/office/spreadsheetml/2017/richdata2" ref="A83:D96">
    <sortCondition descending="1" ref="B83:B96"/>
  </sortState>
  <conditionalFormatting sqref="C14:D20">
    <cfRule type="colorScale" priority="11">
      <colorScale>
        <cfvo type="min"/>
        <cfvo type="percentile" val="50"/>
        <cfvo type="max"/>
        <color rgb="FFF8696B"/>
        <color rgb="FFFFEB84"/>
        <color rgb="FF63BE7B"/>
      </colorScale>
    </cfRule>
  </conditionalFormatting>
  <conditionalFormatting sqref="C22:D39">
    <cfRule type="colorScale" priority="9">
      <colorScale>
        <cfvo type="min"/>
        <cfvo type="percentile" val="50"/>
        <cfvo type="max"/>
        <color rgb="FFF8696B"/>
        <color rgb="FFFFEB84"/>
        <color rgb="FF63BE7B"/>
      </colorScale>
    </cfRule>
  </conditionalFormatting>
  <conditionalFormatting sqref="C42:D45">
    <cfRule type="colorScale" priority="4">
      <colorScale>
        <cfvo type="min"/>
        <cfvo type="percentile" val="50"/>
        <cfvo type="max"/>
        <color rgb="FFF8696B"/>
        <color rgb="FFFFEB84"/>
        <color rgb="FF63BE7B"/>
      </colorScale>
    </cfRule>
  </conditionalFormatting>
  <conditionalFormatting sqref="C48:D49">
    <cfRule type="colorScale" priority="5">
      <colorScale>
        <cfvo type="min"/>
        <cfvo type="percentile" val="50"/>
        <cfvo type="max"/>
        <color rgb="FFF8696B"/>
        <color rgb="FFFFEB84"/>
        <color rgb="FF63BE7B"/>
      </colorScale>
    </cfRule>
  </conditionalFormatting>
  <conditionalFormatting sqref="C52:D59">
    <cfRule type="colorScale" priority="3">
      <colorScale>
        <cfvo type="min"/>
        <cfvo type="percentile" val="50"/>
        <cfvo type="max"/>
        <color rgb="FFF8696B"/>
        <color rgb="FFFFEB84"/>
        <color rgb="FF63BE7B"/>
      </colorScale>
    </cfRule>
  </conditionalFormatting>
  <conditionalFormatting sqref="C62:D69">
    <cfRule type="colorScale" priority="10">
      <colorScale>
        <cfvo type="min"/>
        <cfvo type="percentile" val="50"/>
        <cfvo type="max"/>
        <color rgb="FFF8696B"/>
        <color rgb="FFFFEB84"/>
        <color rgb="FF63BE7B"/>
      </colorScale>
    </cfRule>
  </conditionalFormatting>
  <conditionalFormatting sqref="C72:D74 C42:D45 C77:D80">
    <cfRule type="colorScale" priority="8">
      <colorScale>
        <cfvo type="min"/>
        <cfvo type="percentile" val="50"/>
        <cfvo type="max"/>
        <color rgb="FFF8696B"/>
        <color rgb="FFFFEB84"/>
        <color rgb="FF63BE7B"/>
      </colorScale>
    </cfRule>
  </conditionalFormatting>
  <conditionalFormatting sqref="C77:D80">
    <cfRule type="colorScale" priority="2">
      <colorScale>
        <cfvo type="min"/>
        <cfvo type="percentile" val="50"/>
        <cfvo type="max"/>
        <color rgb="FFF8696B"/>
        <color rgb="FFFFEB84"/>
        <color rgb="FF63BE7B"/>
      </colorScale>
    </cfRule>
  </conditionalFormatting>
  <conditionalFormatting sqref="C83:D96">
    <cfRule type="colorScale" priority="7">
      <colorScale>
        <cfvo type="min"/>
        <cfvo type="percentile" val="50"/>
        <cfvo type="max"/>
        <color rgb="FFF8696B"/>
        <color rgb="FFFFEB84"/>
        <color rgb="FF63BE7B"/>
      </colorScale>
    </cfRule>
  </conditionalFormatting>
  <conditionalFormatting sqref="C99:D102 C52:D59">
    <cfRule type="colorScale" priority="6">
      <colorScale>
        <cfvo type="min"/>
        <cfvo type="percentile" val="50"/>
        <cfvo type="max"/>
        <color rgb="FFF8696B"/>
        <color rgb="FFFFEB84"/>
        <color rgb="FF63BE7B"/>
      </colorScale>
    </cfRule>
  </conditionalFormatting>
  <conditionalFormatting sqref="C99:D102">
    <cfRule type="colorScale" priority="1">
      <colorScale>
        <cfvo type="min"/>
        <cfvo type="percentile" val="50"/>
        <cfvo type="max"/>
        <color rgb="FFF8696B"/>
        <color rgb="FFFFEB84"/>
        <color rgb="FF63BE7B"/>
      </colorScale>
    </cfRule>
  </conditionalFormatting>
  <hyperlinks>
    <hyperlink ref="A1" location="Contents!A1" display="Back to contents page" xr:uid="{F7F90ED1-D8ED-45B3-A1F9-E46AB594AC95}"/>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8AE46-84E3-4CFF-816B-F5973CB44792}">
  <dimension ref="A1:D102"/>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7" t="s">
        <v>18</v>
      </c>
    </row>
    <row r="2" spans="1:4" ht="15.5" x14ac:dyDescent="0.35">
      <c r="A2" s="50" t="s">
        <v>290</v>
      </c>
    </row>
    <row r="3" spans="1:4" x14ac:dyDescent="0.35">
      <c r="A3" s="53" t="s">
        <v>370</v>
      </c>
    </row>
    <row r="4" spans="1:4" x14ac:dyDescent="0.35">
      <c r="A4" s="3"/>
    </row>
    <row r="5" spans="1:4" ht="29" x14ac:dyDescent="0.35">
      <c r="A5" s="34" t="s">
        <v>222</v>
      </c>
      <c r="B5" s="23" t="s">
        <v>32</v>
      </c>
      <c r="C5" s="24" t="s">
        <v>33</v>
      </c>
    </row>
    <row r="6" spans="1:4" x14ac:dyDescent="0.35">
      <c r="A6" s="25" t="s">
        <v>34</v>
      </c>
      <c r="B6">
        <v>150</v>
      </c>
      <c r="C6" s="43">
        <f>B6/331</f>
        <v>0.45317220543806647</v>
      </c>
    </row>
    <row r="7" spans="1:4" x14ac:dyDescent="0.35">
      <c r="A7" s="25" t="s">
        <v>35</v>
      </c>
      <c r="B7">
        <v>130</v>
      </c>
      <c r="C7" s="43">
        <f>B7/331</f>
        <v>0.39274924471299094</v>
      </c>
    </row>
    <row r="8" spans="1:4" x14ac:dyDescent="0.35">
      <c r="A8" s="25" t="s">
        <v>227</v>
      </c>
      <c r="B8">
        <v>84</v>
      </c>
      <c r="C8" s="43">
        <f>B8/331</f>
        <v>0.25377643504531722</v>
      </c>
    </row>
    <row r="9" spans="1:4" x14ac:dyDescent="0.35">
      <c r="A9" s="25" t="s">
        <v>37</v>
      </c>
      <c r="B9">
        <v>78</v>
      </c>
      <c r="C9" s="43">
        <f>B9/331</f>
        <v>0.23564954682779457</v>
      </c>
    </row>
    <row r="10" spans="1:4" x14ac:dyDescent="0.35">
      <c r="A10" s="55" t="s">
        <v>38</v>
      </c>
      <c r="B10" s="56">
        <v>66</v>
      </c>
      <c r="C10" s="57">
        <f>B10/331</f>
        <v>0.19939577039274925</v>
      </c>
    </row>
    <row r="13" spans="1:4" ht="29" x14ac:dyDescent="0.35">
      <c r="A13" s="34" t="s">
        <v>19</v>
      </c>
      <c r="B13" s="23" t="s">
        <v>232</v>
      </c>
      <c r="C13" s="23" t="s">
        <v>233</v>
      </c>
      <c r="D13" s="24" t="s">
        <v>213</v>
      </c>
    </row>
    <row r="14" spans="1:4" x14ac:dyDescent="0.35">
      <c r="A14" s="25" t="s">
        <v>22</v>
      </c>
      <c r="B14">
        <v>0</v>
      </c>
      <c r="C14" s="31">
        <f t="shared" ref="C14:C19" si="0">B14/66</f>
        <v>0</v>
      </c>
      <c r="D14" s="27">
        <v>1.2084592145015106E-2</v>
      </c>
    </row>
    <row r="15" spans="1:4" x14ac:dyDescent="0.35">
      <c r="A15" s="25" t="s">
        <v>23</v>
      </c>
      <c r="B15">
        <v>10</v>
      </c>
      <c r="C15" s="31">
        <f t="shared" si="0"/>
        <v>0.15151515151515152</v>
      </c>
      <c r="D15" s="27">
        <v>0.11178247734138973</v>
      </c>
    </row>
    <row r="16" spans="1:4" x14ac:dyDescent="0.35">
      <c r="A16" s="25" t="s">
        <v>239</v>
      </c>
      <c r="B16">
        <v>36</v>
      </c>
      <c r="C16" s="31">
        <f t="shared" si="0"/>
        <v>0.54545454545454541</v>
      </c>
      <c r="D16" s="27">
        <v>0.54380664652567978</v>
      </c>
    </row>
    <row r="17" spans="1:4" x14ac:dyDescent="0.35">
      <c r="A17" s="25" t="s">
        <v>25</v>
      </c>
      <c r="B17">
        <v>16</v>
      </c>
      <c r="C17" s="31">
        <f t="shared" si="0"/>
        <v>0.24242424242424243</v>
      </c>
      <c r="D17" s="27">
        <v>0.25981873111782477</v>
      </c>
    </row>
    <row r="18" spans="1:4" x14ac:dyDescent="0.35">
      <c r="A18" s="25" t="s">
        <v>26</v>
      </c>
      <c r="B18">
        <v>4</v>
      </c>
      <c r="C18" s="31">
        <f t="shared" si="0"/>
        <v>6.0606060606060608E-2</v>
      </c>
      <c r="D18" s="27">
        <v>6.3444108761329304E-2</v>
      </c>
    </row>
    <row r="19" spans="1:4" x14ac:dyDescent="0.35">
      <c r="A19" s="28" t="s">
        <v>27</v>
      </c>
      <c r="B19" s="29">
        <v>0</v>
      </c>
      <c r="C19" s="32">
        <f t="shared" si="0"/>
        <v>0</v>
      </c>
      <c r="D19" s="33">
        <v>9.0634441087613302E-3</v>
      </c>
    </row>
    <row r="21" spans="1:4" ht="29" x14ac:dyDescent="0.35">
      <c r="A21" s="22" t="s">
        <v>83</v>
      </c>
      <c r="B21" s="23" t="s">
        <v>232</v>
      </c>
      <c r="C21" s="23" t="s">
        <v>233</v>
      </c>
      <c r="D21" s="24" t="s">
        <v>213</v>
      </c>
    </row>
    <row r="22" spans="1:4" x14ac:dyDescent="0.35">
      <c r="A22" s="25" t="s">
        <v>82</v>
      </c>
      <c r="B22">
        <v>44</v>
      </c>
      <c r="C22" s="39">
        <f t="shared" ref="C22:C39" si="1">B22/66</f>
        <v>0.66666666666666663</v>
      </c>
      <c r="D22" s="40">
        <v>0.47432024169184289</v>
      </c>
    </row>
    <row r="23" spans="1:4" x14ac:dyDescent="0.35">
      <c r="A23" s="25" t="s">
        <v>81</v>
      </c>
      <c r="B23">
        <v>33</v>
      </c>
      <c r="C23" s="39">
        <f t="shared" si="1"/>
        <v>0.5</v>
      </c>
      <c r="D23" s="40">
        <v>0.41691842900302117</v>
      </c>
    </row>
    <row r="24" spans="1:4" x14ac:dyDescent="0.35">
      <c r="A24" s="25" t="s">
        <v>122</v>
      </c>
      <c r="B24">
        <v>20</v>
      </c>
      <c r="C24" s="39">
        <f t="shared" si="1"/>
        <v>0.30303030303030304</v>
      </c>
      <c r="D24" s="40">
        <v>0.30211480362537763</v>
      </c>
    </row>
    <row r="25" spans="1:4" x14ac:dyDescent="0.35">
      <c r="A25" s="25" t="s">
        <v>80</v>
      </c>
      <c r="B25">
        <v>19</v>
      </c>
      <c r="C25" s="39">
        <f t="shared" si="1"/>
        <v>0.2878787878787879</v>
      </c>
      <c r="D25" s="40">
        <v>0.24471299093655588</v>
      </c>
    </row>
    <row r="26" spans="1:4" x14ac:dyDescent="0.35">
      <c r="A26" s="25" t="s">
        <v>86</v>
      </c>
      <c r="B26">
        <v>16</v>
      </c>
      <c r="C26" s="39">
        <f t="shared" si="1"/>
        <v>0.24242424242424243</v>
      </c>
      <c r="D26" s="40">
        <v>0.2175226586102719</v>
      </c>
    </row>
    <row r="27" spans="1:4" x14ac:dyDescent="0.35">
      <c r="A27" s="25" t="s">
        <v>123</v>
      </c>
      <c r="B27">
        <v>14</v>
      </c>
      <c r="C27" s="39">
        <f t="shared" si="1"/>
        <v>0.21212121212121213</v>
      </c>
      <c r="D27" s="40">
        <v>0.17522658610271905</v>
      </c>
    </row>
    <row r="28" spans="1:4" x14ac:dyDescent="0.35">
      <c r="A28" s="25" t="s">
        <v>77</v>
      </c>
      <c r="B28">
        <v>12</v>
      </c>
      <c r="C28" s="39">
        <f t="shared" si="1"/>
        <v>0.18181818181818182</v>
      </c>
      <c r="D28" s="40">
        <v>7.5528700906344406E-2</v>
      </c>
    </row>
    <row r="29" spans="1:4" x14ac:dyDescent="0.35">
      <c r="A29" s="25" t="s">
        <v>79</v>
      </c>
      <c r="B29">
        <v>12</v>
      </c>
      <c r="C29" s="39">
        <f t="shared" si="1"/>
        <v>0.18181818181818182</v>
      </c>
      <c r="D29" s="40">
        <v>0.15709969788519637</v>
      </c>
    </row>
    <row r="30" spans="1:4" x14ac:dyDescent="0.35">
      <c r="A30" s="25" t="s">
        <v>125</v>
      </c>
      <c r="B30">
        <v>8</v>
      </c>
      <c r="C30" s="39">
        <f t="shared" si="1"/>
        <v>0.12121212121212122</v>
      </c>
      <c r="D30" s="40">
        <v>8.1570996978851965E-2</v>
      </c>
    </row>
    <row r="31" spans="1:4" x14ac:dyDescent="0.35">
      <c r="A31" s="25" t="s">
        <v>78</v>
      </c>
      <c r="B31">
        <v>6</v>
      </c>
      <c r="C31" s="39">
        <f t="shared" si="1"/>
        <v>9.0909090909090912E-2</v>
      </c>
      <c r="D31" s="40">
        <v>8.4592145015105744E-2</v>
      </c>
    </row>
    <row r="32" spans="1:4" x14ac:dyDescent="0.35">
      <c r="A32" s="25" t="s">
        <v>126</v>
      </c>
      <c r="B32">
        <v>4</v>
      </c>
      <c r="C32" s="39">
        <f t="shared" si="1"/>
        <v>6.0606060606060608E-2</v>
      </c>
      <c r="D32" s="40">
        <v>6.6465256797583083E-2</v>
      </c>
    </row>
    <row r="33" spans="1:4" x14ac:dyDescent="0.35">
      <c r="A33" s="25" t="s">
        <v>124</v>
      </c>
      <c r="B33">
        <v>4</v>
      </c>
      <c r="C33" s="39">
        <f t="shared" si="1"/>
        <v>6.0606060606060608E-2</v>
      </c>
      <c r="D33" s="40">
        <v>0.14803625377643503</v>
      </c>
    </row>
    <row r="34" spans="1:4" x14ac:dyDescent="0.35">
      <c r="A34" s="25" t="s">
        <v>127</v>
      </c>
      <c r="B34">
        <v>3</v>
      </c>
      <c r="C34" s="39">
        <f t="shared" si="1"/>
        <v>4.5454545454545456E-2</v>
      </c>
      <c r="D34" s="40">
        <v>3.0211480362537766E-2</v>
      </c>
    </row>
    <row r="35" spans="1:4" x14ac:dyDescent="0.35">
      <c r="A35" s="25" t="s">
        <v>76</v>
      </c>
      <c r="B35">
        <v>1</v>
      </c>
      <c r="C35" s="39">
        <f t="shared" si="1"/>
        <v>1.5151515151515152E-2</v>
      </c>
      <c r="D35" s="40">
        <f>3/331</f>
        <v>9.0634441087613302E-3</v>
      </c>
    </row>
    <row r="36" spans="1:4" x14ac:dyDescent="0.35">
      <c r="A36" s="25" t="s">
        <v>74</v>
      </c>
      <c r="B36">
        <v>1</v>
      </c>
      <c r="C36" s="39">
        <f t="shared" si="1"/>
        <v>1.5151515151515152E-2</v>
      </c>
      <c r="D36" s="40">
        <v>6.0422960725075529E-3</v>
      </c>
    </row>
    <row r="37" spans="1:4" x14ac:dyDescent="0.35">
      <c r="A37" s="25" t="s">
        <v>128</v>
      </c>
      <c r="B37">
        <v>1</v>
      </c>
      <c r="C37" s="39">
        <f t="shared" si="1"/>
        <v>1.5151515151515152E-2</v>
      </c>
      <c r="D37" s="40">
        <v>1.2084592145015106E-2</v>
      </c>
    </row>
    <row r="38" spans="1:4" x14ac:dyDescent="0.35">
      <c r="A38" s="25" t="s">
        <v>73</v>
      </c>
      <c r="B38">
        <v>0</v>
      </c>
      <c r="C38" s="39">
        <f t="shared" si="1"/>
        <v>0</v>
      </c>
      <c r="D38" s="40">
        <f>2/331</f>
        <v>6.0422960725075529E-3</v>
      </c>
    </row>
    <row r="39" spans="1:4" x14ac:dyDescent="0.35">
      <c r="A39" s="28" t="s">
        <v>75</v>
      </c>
      <c r="B39" s="29">
        <v>0</v>
      </c>
      <c r="C39" s="42">
        <f t="shared" si="1"/>
        <v>0</v>
      </c>
      <c r="D39" s="41">
        <f>2/331</f>
        <v>6.0422960725075529E-3</v>
      </c>
    </row>
    <row r="41" spans="1:4" ht="29" x14ac:dyDescent="0.35">
      <c r="A41" s="34" t="s">
        <v>115</v>
      </c>
      <c r="B41" s="23" t="s">
        <v>232</v>
      </c>
      <c r="C41" s="23" t="s">
        <v>233</v>
      </c>
      <c r="D41" s="24" t="s">
        <v>213</v>
      </c>
    </row>
    <row r="42" spans="1:4" x14ac:dyDescent="0.35">
      <c r="A42" s="25" t="s">
        <v>116</v>
      </c>
      <c r="B42">
        <v>5</v>
      </c>
      <c r="C42" s="39">
        <f>B42/66</f>
        <v>7.575757575757576E-2</v>
      </c>
      <c r="D42" s="40">
        <v>8.1081081081081086E-2</v>
      </c>
    </row>
    <row r="43" spans="1:4" x14ac:dyDescent="0.35">
      <c r="A43" s="25" t="s">
        <v>117</v>
      </c>
      <c r="B43">
        <v>7</v>
      </c>
      <c r="C43" s="39">
        <f>B43/66</f>
        <v>0.10606060606060606</v>
      </c>
      <c r="D43" s="40">
        <v>9.0090090090090086E-2</v>
      </c>
    </row>
    <row r="44" spans="1:4" x14ac:dyDescent="0.35">
      <c r="A44" s="25" t="s">
        <v>118</v>
      </c>
      <c r="B44">
        <v>24</v>
      </c>
      <c r="C44" s="39">
        <f>B44/66</f>
        <v>0.36363636363636365</v>
      </c>
      <c r="D44" s="40">
        <v>0.38438438438438438</v>
      </c>
    </row>
    <row r="45" spans="1:4" x14ac:dyDescent="0.35">
      <c r="A45" s="28" t="s">
        <v>119</v>
      </c>
      <c r="B45" s="29">
        <v>30</v>
      </c>
      <c r="C45" s="42">
        <f>B45/66</f>
        <v>0.45454545454545453</v>
      </c>
      <c r="D45" s="41">
        <v>0.44144144144144143</v>
      </c>
    </row>
    <row r="47" spans="1:4" ht="43.5" x14ac:dyDescent="0.35">
      <c r="A47" s="34" t="s">
        <v>145</v>
      </c>
      <c r="B47" s="23" t="s">
        <v>232</v>
      </c>
      <c r="C47" s="23" t="s">
        <v>233</v>
      </c>
      <c r="D47" s="24" t="s">
        <v>213</v>
      </c>
    </row>
    <row r="48" spans="1:4" x14ac:dyDescent="0.35">
      <c r="A48" s="25" t="s">
        <v>143</v>
      </c>
      <c r="B48">
        <v>21</v>
      </c>
      <c r="C48" s="39">
        <f>B48/66</f>
        <v>0.31818181818181818</v>
      </c>
      <c r="D48" s="40">
        <v>0.26586102719033233</v>
      </c>
    </row>
    <row r="49" spans="1:4" x14ac:dyDescent="0.35">
      <c r="A49" s="28" t="s">
        <v>144</v>
      </c>
      <c r="B49" s="29">
        <v>45</v>
      </c>
      <c r="C49" s="42">
        <f>B49/66</f>
        <v>0.68181818181818177</v>
      </c>
      <c r="D49" s="41">
        <v>0.73413897280966767</v>
      </c>
    </row>
    <row r="51" spans="1:4" ht="29" x14ac:dyDescent="0.35">
      <c r="A51" s="34" t="s">
        <v>105</v>
      </c>
      <c r="B51" s="23" t="s">
        <v>232</v>
      </c>
      <c r="C51" s="23" t="s">
        <v>233</v>
      </c>
      <c r="D51" s="24" t="s">
        <v>213</v>
      </c>
    </row>
    <row r="52" spans="1:4" x14ac:dyDescent="0.35">
      <c r="A52" s="25" t="s">
        <v>107</v>
      </c>
      <c r="B52">
        <v>5</v>
      </c>
      <c r="C52" s="39">
        <f t="shared" ref="C52:C59" si="2">B52/66</f>
        <v>7.575757575757576E-2</v>
      </c>
      <c r="D52" s="40">
        <v>6.3444108761329304E-2</v>
      </c>
    </row>
    <row r="53" spans="1:4" x14ac:dyDescent="0.35">
      <c r="A53" s="25" t="s">
        <v>108</v>
      </c>
      <c r="B53">
        <v>1</v>
      </c>
      <c r="C53" s="39">
        <f t="shared" si="2"/>
        <v>1.5151515151515152E-2</v>
      </c>
      <c r="D53" s="40">
        <v>3.3232628398791542E-2</v>
      </c>
    </row>
    <row r="54" spans="1:4" x14ac:dyDescent="0.35">
      <c r="A54" s="25" t="s">
        <v>109</v>
      </c>
      <c r="B54">
        <v>2</v>
      </c>
      <c r="C54" s="39">
        <f t="shared" si="2"/>
        <v>3.0303030303030304E-2</v>
      </c>
      <c r="D54" s="40">
        <v>3.9274924471299093E-2</v>
      </c>
    </row>
    <row r="55" spans="1:4" x14ac:dyDescent="0.35">
      <c r="A55" s="25" t="s">
        <v>110</v>
      </c>
      <c r="B55">
        <v>7</v>
      </c>
      <c r="C55" s="39">
        <f t="shared" si="2"/>
        <v>0.10606060606060606</v>
      </c>
      <c r="D55" s="40">
        <v>0.11480362537764351</v>
      </c>
    </row>
    <row r="56" spans="1:4" x14ac:dyDescent="0.35">
      <c r="A56" s="25" t="s">
        <v>111</v>
      </c>
      <c r="B56">
        <v>16</v>
      </c>
      <c r="C56" s="39">
        <f t="shared" si="2"/>
        <v>0.24242424242424243</v>
      </c>
      <c r="D56" s="40">
        <v>0.18731117824773413</v>
      </c>
    </row>
    <row r="57" spans="1:4" x14ac:dyDescent="0.35">
      <c r="A57" s="25" t="s">
        <v>112</v>
      </c>
      <c r="B57">
        <v>9</v>
      </c>
      <c r="C57" s="39">
        <f t="shared" si="2"/>
        <v>0.13636363636363635</v>
      </c>
      <c r="D57" s="40">
        <v>0.10574018126888217</v>
      </c>
    </row>
    <row r="58" spans="1:4" x14ac:dyDescent="0.35">
      <c r="A58" s="25" t="s">
        <v>113</v>
      </c>
      <c r="B58">
        <v>23</v>
      </c>
      <c r="C58" s="39">
        <f t="shared" si="2"/>
        <v>0.34848484848484851</v>
      </c>
      <c r="D58" s="40">
        <v>0.39577039274924469</v>
      </c>
    </row>
    <row r="59" spans="1:4" x14ac:dyDescent="0.35">
      <c r="A59" s="28" t="s">
        <v>114</v>
      </c>
      <c r="B59" s="29">
        <v>2</v>
      </c>
      <c r="C59" s="39">
        <f t="shared" si="2"/>
        <v>3.0303030303030304E-2</v>
      </c>
      <c r="D59" s="41">
        <v>6.0422960725075532E-2</v>
      </c>
    </row>
    <row r="61" spans="1:4" ht="29" x14ac:dyDescent="0.35">
      <c r="A61" s="34" t="s">
        <v>154</v>
      </c>
      <c r="B61" s="23" t="s">
        <v>232</v>
      </c>
      <c r="C61" s="23" t="s">
        <v>233</v>
      </c>
      <c r="D61" s="24" t="s">
        <v>213</v>
      </c>
    </row>
    <row r="62" spans="1:4" x14ac:dyDescent="0.35">
      <c r="A62" s="25" t="s">
        <v>155</v>
      </c>
      <c r="B62">
        <v>42</v>
      </c>
      <c r="C62" s="39">
        <f t="shared" ref="C62:C69" si="3">B62/66</f>
        <v>0.63636363636363635</v>
      </c>
      <c r="D62" s="40">
        <v>0.66767371601208458</v>
      </c>
    </row>
    <row r="63" spans="1:4" x14ac:dyDescent="0.35">
      <c r="A63" s="25" t="s">
        <v>156</v>
      </c>
      <c r="B63">
        <v>24</v>
      </c>
      <c r="C63" s="39">
        <f t="shared" si="3"/>
        <v>0.36363636363636365</v>
      </c>
      <c r="D63" s="40">
        <v>0.25377643504531722</v>
      </c>
    </row>
    <row r="64" spans="1:4" x14ac:dyDescent="0.35">
      <c r="A64" s="25" t="s">
        <v>157</v>
      </c>
      <c r="B64">
        <v>10</v>
      </c>
      <c r="C64" s="39">
        <f t="shared" si="3"/>
        <v>0.15151515151515152</v>
      </c>
      <c r="D64" s="40">
        <v>0.15105740181268881</v>
      </c>
    </row>
    <row r="65" spans="1:4" x14ac:dyDescent="0.35">
      <c r="A65" s="25" t="s">
        <v>158</v>
      </c>
      <c r="B65">
        <v>10</v>
      </c>
      <c r="C65" s="39">
        <f t="shared" si="3"/>
        <v>0.15151515151515152</v>
      </c>
      <c r="D65" s="40">
        <v>0.14501510574018128</v>
      </c>
    </row>
    <row r="66" spans="1:4" x14ac:dyDescent="0.35">
      <c r="A66" s="25" t="s">
        <v>159</v>
      </c>
      <c r="B66">
        <v>8</v>
      </c>
      <c r="C66" s="39">
        <f t="shared" si="3"/>
        <v>0.12121212121212122</v>
      </c>
      <c r="D66" s="40">
        <v>0.12688821752265861</v>
      </c>
    </row>
    <row r="67" spans="1:4" x14ac:dyDescent="0.35">
      <c r="A67" s="25" t="s">
        <v>160</v>
      </c>
      <c r="B67">
        <v>6</v>
      </c>
      <c r="C67" s="39">
        <f t="shared" si="3"/>
        <v>9.0909090909090912E-2</v>
      </c>
      <c r="D67" s="40">
        <v>0.10574018126888217</v>
      </c>
    </row>
    <row r="68" spans="1:4" x14ac:dyDescent="0.35">
      <c r="A68" s="25" t="s">
        <v>161</v>
      </c>
      <c r="B68">
        <v>5</v>
      </c>
      <c r="C68" s="39">
        <f t="shared" si="3"/>
        <v>7.575757575757576E-2</v>
      </c>
      <c r="D68" s="40">
        <v>7.8549848942598186E-2</v>
      </c>
    </row>
    <row r="69" spans="1:4" x14ac:dyDescent="0.35">
      <c r="A69" s="28" t="s">
        <v>162</v>
      </c>
      <c r="B69" s="29">
        <v>1</v>
      </c>
      <c r="C69" s="39">
        <f t="shared" si="3"/>
        <v>1.5151515151515152E-2</v>
      </c>
      <c r="D69" s="41">
        <v>1.2084592145015106E-2</v>
      </c>
    </row>
    <row r="71" spans="1:4" ht="43.5" x14ac:dyDescent="0.35">
      <c r="A71" s="34" t="s">
        <v>146</v>
      </c>
      <c r="B71" s="23" t="s">
        <v>232</v>
      </c>
      <c r="C71" s="23" t="s">
        <v>233</v>
      </c>
      <c r="D71" s="24" t="s">
        <v>213</v>
      </c>
    </row>
    <row r="72" spans="1:4" x14ac:dyDescent="0.35">
      <c r="A72" s="25" t="s">
        <v>147</v>
      </c>
      <c r="B72">
        <v>57</v>
      </c>
      <c r="C72" s="39">
        <f>B72/66</f>
        <v>0.86363636363636365</v>
      </c>
      <c r="D72" s="40">
        <v>0.83383685800604235</v>
      </c>
    </row>
    <row r="73" spans="1:4" x14ac:dyDescent="0.35">
      <c r="A73" s="25" t="s">
        <v>148</v>
      </c>
      <c r="B73">
        <v>26</v>
      </c>
      <c r="C73" s="39">
        <f>B73/66</f>
        <v>0.39393939393939392</v>
      </c>
      <c r="D73" s="40">
        <v>0.38368580060422963</v>
      </c>
    </row>
    <row r="74" spans="1:4" x14ac:dyDescent="0.35">
      <c r="A74" s="28" t="s">
        <v>89</v>
      </c>
      <c r="B74" s="29">
        <v>7</v>
      </c>
      <c r="C74" s="42">
        <f>B74/66</f>
        <v>0.10606060606060606</v>
      </c>
      <c r="D74" s="41">
        <v>0.12084592145015106</v>
      </c>
    </row>
    <row r="76" spans="1:4" ht="87" x14ac:dyDescent="0.35">
      <c r="A76" s="34" t="s">
        <v>149</v>
      </c>
      <c r="B76" s="23" t="s">
        <v>232</v>
      </c>
      <c r="C76" s="23" t="s">
        <v>233</v>
      </c>
      <c r="D76" s="24" t="s">
        <v>213</v>
      </c>
    </row>
    <row r="77" spans="1:4" x14ac:dyDescent="0.35">
      <c r="A77" s="25" t="s">
        <v>150</v>
      </c>
      <c r="B77">
        <v>34</v>
      </c>
      <c r="C77" s="39">
        <f>B77/66</f>
        <v>0.51515151515151514</v>
      </c>
      <c r="D77" s="40">
        <v>0.45015105740181272</v>
      </c>
    </row>
    <row r="78" spans="1:4" x14ac:dyDescent="0.35">
      <c r="A78" s="25" t="s">
        <v>152</v>
      </c>
      <c r="B78">
        <v>31</v>
      </c>
      <c r="C78" s="39">
        <f>B78/66</f>
        <v>0.46969696969696972</v>
      </c>
      <c r="D78" s="40">
        <v>0.52567975830815705</v>
      </c>
    </row>
    <row r="79" spans="1:4" x14ac:dyDescent="0.35">
      <c r="A79" s="25" t="s">
        <v>151</v>
      </c>
      <c r="B79">
        <v>45</v>
      </c>
      <c r="C79" s="39">
        <f>B79/66</f>
        <v>0.68181818181818177</v>
      </c>
      <c r="D79" s="40">
        <v>0.58308157099697888</v>
      </c>
    </row>
    <row r="80" spans="1:4" x14ac:dyDescent="0.35">
      <c r="A80" s="28" t="s">
        <v>153</v>
      </c>
      <c r="B80" s="29">
        <v>19</v>
      </c>
      <c r="C80" s="42">
        <f>B80/66</f>
        <v>0.2878787878787879</v>
      </c>
      <c r="D80" s="41">
        <v>0.38368580060422963</v>
      </c>
    </row>
    <row r="82" spans="1:4" ht="43.5" x14ac:dyDescent="0.35">
      <c r="A82" s="34" t="s">
        <v>163</v>
      </c>
      <c r="B82" s="23" t="s">
        <v>232</v>
      </c>
      <c r="C82" s="23" t="s">
        <v>233</v>
      </c>
      <c r="D82" s="24" t="s">
        <v>213</v>
      </c>
    </row>
    <row r="83" spans="1:4" x14ac:dyDescent="0.35">
      <c r="A83" s="25" t="s">
        <v>165</v>
      </c>
      <c r="B83">
        <v>28</v>
      </c>
      <c r="C83" s="39">
        <f t="shared" ref="C83:C96" si="4">B83/66</f>
        <v>0.42424242424242425</v>
      </c>
      <c r="D83" s="40">
        <v>0.38670694864048338</v>
      </c>
    </row>
    <row r="84" spans="1:4" x14ac:dyDescent="0.35">
      <c r="A84" s="25" t="s">
        <v>164</v>
      </c>
      <c r="B84">
        <v>25</v>
      </c>
      <c r="C84" s="39">
        <f t="shared" si="4"/>
        <v>0.37878787878787878</v>
      </c>
      <c r="D84" s="40">
        <v>0.39274924471299094</v>
      </c>
    </row>
    <row r="85" spans="1:4" x14ac:dyDescent="0.35">
      <c r="A85" s="25" t="s">
        <v>167</v>
      </c>
      <c r="B85">
        <v>18</v>
      </c>
      <c r="C85" s="39">
        <f t="shared" si="4"/>
        <v>0.27272727272727271</v>
      </c>
      <c r="D85" s="40">
        <v>0.22658610271903323</v>
      </c>
    </row>
    <row r="86" spans="1:4" x14ac:dyDescent="0.35">
      <c r="A86" s="25" t="s">
        <v>168</v>
      </c>
      <c r="B86">
        <v>18</v>
      </c>
      <c r="C86" s="39">
        <f t="shared" si="4"/>
        <v>0.27272727272727271</v>
      </c>
      <c r="D86" s="40">
        <v>0.2175226586102719</v>
      </c>
    </row>
    <row r="87" spans="1:4" x14ac:dyDescent="0.35">
      <c r="A87" s="25" t="s">
        <v>166</v>
      </c>
      <c r="B87">
        <v>16</v>
      </c>
      <c r="C87" s="39">
        <f t="shared" si="4"/>
        <v>0.24242424242424243</v>
      </c>
      <c r="D87" s="40">
        <v>0.23262839879154079</v>
      </c>
    </row>
    <row r="88" spans="1:4" x14ac:dyDescent="0.35">
      <c r="A88" s="25" t="s">
        <v>171</v>
      </c>
      <c r="B88">
        <v>13</v>
      </c>
      <c r="C88" s="39">
        <f t="shared" si="4"/>
        <v>0.19696969696969696</v>
      </c>
      <c r="D88" s="40">
        <v>0.15105740181268881</v>
      </c>
    </row>
    <row r="89" spans="1:4" x14ac:dyDescent="0.35">
      <c r="A89" s="25" t="s">
        <v>169</v>
      </c>
      <c r="B89">
        <v>11</v>
      </c>
      <c r="C89" s="39">
        <f t="shared" si="4"/>
        <v>0.16666666666666666</v>
      </c>
      <c r="D89" s="40">
        <v>0.19637462235649547</v>
      </c>
    </row>
    <row r="90" spans="1:4" x14ac:dyDescent="0.35">
      <c r="A90" s="25" t="s">
        <v>170</v>
      </c>
      <c r="B90">
        <v>10</v>
      </c>
      <c r="C90" s="39">
        <f t="shared" si="4"/>
        <v>0.15151515151515152</v>
      </c>
      <c r="D90" s="40">
        <v>0.16314199395770393</v>
      </c>
    </row>
    <row r="91" spans="1:4" x14ac:dyDescent="0.35">
      <c r="A91" s="25" t="s">
        <v>172</v>
      </c>
      <c r="B91">
        <v>6</v>
      </c>
      <c r="C91" s="39">
        <f t="shared" si="4"/>
        <v>9.0909090909090912E-2</v>
      </c>
      <c r="D91" s="40">
        <v>5.7401812688821753E-2</v>
      </c>
    </row>
    <row r="92" spans="1:4" x14ac:dyDescent="0.35">
      <c r="A92" s="25" t="s">
        <v>173</v>
      </c>
      <c r="B92">
        <v>4</v>
      </c>
      <c r="C92" s="39">
        <f t="shared" si="4"/>
        <v>6.0606060606060608E-2</v>
      </c>
      <c r="D92" s="40">
        <v>5.1359516616314202E-2</v>
      </c>
    </row>
    <row r="93" spans="1:4" x14ac:dyDescent="0.35">
      <c r="A93" s="25" t="s">
        <v>175</v>
      </c>
      <c r="B93">
        <v>2</v>
      </c>
      <c r="C93" s="39">
        <f t="shared" si="4"/>
        <v>3.0303030303030304E-2</v>
      </c>
      <c r="D93" s="40">
        <v>1.812688821752266E-2</v>
      </c>
    </row>
    <row r="94" spans="1:4" x14ac:dyDescent="0.35">
      <c r="A94" s="25" t="s">
        <v>176</v>
      </c>
      <c r="B94">
        <v>2</v>
      </c>
      <c r="C94" s="39">
        <f t="shared" si="4"/>
        <v>3.0303030303030304E-2</v>
      </c>
      <c r="D94" s="40">
        <v>9.0634441087613302E-3</v>
      </c>
    </row>
    <row r="95" spans="1:4" x14ac:dyDescent="0.35">
      <c r="A95" s="25" t="s">
        <v>174</v>
      </c>
      <c r="B95">
        <v>1</v>
      </c>
      <c r="C95" s="39">
        <f t="shared" si="4"/>
        <v>1.5151515151515152E-2</v>
      </c>
      <c r="D95" s="40">
        <v>2.4169184290030211E-2</v>
      </c>
    </row>
    <row r="96" spans="1:4" x14ac:dyDescent="0.35">
      <c r="A96" s="28" t="s">
        <v>177</v>
      </c>
      <c r="B96" s="29">
        <v>1</v>
      </c>
      <c r="C96" s="42">
        <f t="shared" si="4"/>
        <v>1.5151515151515152E-2</v>
      </c>
      <c r="D96" s="41">
        <v>6.0422960725075529E-3</v>
      </c>
    </row>
    <row r="98" spans="1:4" ht="29" x14ac:dyDescent="0.35">
      <c r="A98" s="34" t="s">
        <v>94</v>
      </c>
      <c r="B98" s="23" t="s">
        <v>232</v>
      </c>
      <c r="C98" s="23" t="s">
        <v>233</v>
      </c>
      <c r="D98" s="24" t="s">
        <v>213</v>
      </c>
    </row>
    <row r="99" spans="1:4" x14ac:dyDescent="0.35">
      <c r="A99" s="25" t="s">
        <v>87</v>
      </c>
      <c r="B99">
        <v>10</v>
      </c>
      <c r="C99" s="39">
        <f>B99/66</f>
        <v>0.15151515151515152</v>
      </c>
      <c r="D99" s="40">
        <v>0.12386706948640483</v>
      </c>
    </row>
    <row r="100" spans="1:4" x14ac:dyDescent="0.35">
      <c r="A100" s="25" t="s">
        <v>88</v>
      </c>
      <c r="B100">
        <v>26</v>
      </c>
      <c r="C100" s="39">
        <f>B100/66</f>
        <v>0.39393939393939392</v>
      </c>
      <c r="D100" s="40">
        <v>0.25679758308157102</v>
      </c>
    </row>
    <row r="101" spans="1:4" x14ac:dyDescent="0.35">
      <c r="A101" s="25" t="s">
        <v>89</v>
      </c>
      <c r="B101">
        <v>18</v>
      </c>
      <c r="C101" s="39">
        <f>B101/66</f>
        <v>0.27272727272727271</v>
      </c>
      <c r="D101" s="40">
        <v>0.2809667673716012</v>
      </c>
    </row>
    <row r="102" spans="1:4" x14ac:dyDescent="0.35">
      <c r="A102" s="28" t="s">
        <v>90</v>
      </c>
      <c r="B102" s="29">
        <v>27</v>
      </c>
      <c r="C102" s="42">
        <f>B102/66</f>
        <v>0.40909090909090912</v>
      </c>
      <c r="D102" s="41">
        <v>0.30513595166163143</v>
      </c>
    </row>
  </sheetData>
  <sheetProtection algorithmName="SHA-512" hashValue="NdhV4Xsiyxz4nl10QkylLNzOt+wSS3WXnPdK8mIN6q7wb7h7ltWyy16UQv+m4Hb9uze5ZoIjqpnoQ13bA2coVg==" saltValue="Rgpt4aTgTs4h1J63fEaRkw==" spinCount="100000" sheet="1" objects="1" scenarios="1"/>
  <sortState xmlns:xlrd2="http://schemas.microsoft.com/office/spreadsheetml/2017/richdata2" ref="A83:D96">
    <sortCondition descending="1" ref="B83:B96"/>
  </sortState>
  <conditionalFormatting sqref="C14:D19">
    <cfRule type="colorScale" priority="12">
      <colorScale>
        <cfvo type="min"/>
        <cfvo type="percentile" val="50"/>
        <cfvo type="max"/>
        <color rgb="FFF8696B"/>
        <color rgb="FFFFEB84"/>
        <color rgb="FF63BE7B"/>
      </colorScale>
    </cfRule>
  </conditionalFormatting>
  <conditionalFormatting sqref="C22:D39">
    <cfRule type="colorScale" priority="10">
      <colorScale>
        <cfvo type="min"/>
        <cfvo type="percentile" val="50"/>
        <cfvo type="max"/>
        <color rgb="FFF8696B"/>
        <color rgb="FFFFEB84"/>
        <color rgb="FF63BE7B"/>
      </colorScale>
    </cfRule>
  </conditionalFormatting>
  <conditionalFormatting sqref="C42:D45">
    <cfRule type="colorScale" priority="5">
      <colorScale>
        <cfvo type="min"/>
        <cfvo type="percentile" val="50"/>
        <cfvo type="max"/>
        <color rgb="FFF8696B"/>
        <color rgb="FFFFEB84"/>
        <color rgb="FF63BE7B"/>
      </colorScale>
    </cfRule>
  </conditionalFormatting>
  <conditionalFormatting sqref="C48:D49">
    <cfRule type="colorScale" priority="6">
      <colorScale>
        <cfvo type="min"/>
        <cfvo type="percentile" val="50"/>
        <cfvo type="max"/>
        <color rgb="FFF8696B"/>
        <color rgb="FFFFEB84"/>
        <color rgb="FF63BE7B"/>
      </colorScale>
    </cfRule>
  </conditionalFormatting>
  <conditionalFormatting sqref="C52:D59">
    <cfRule type="colorScale" priority="4">
      <colorScale>
        <cfvo type="min"/>
        <cfvo type="percentile" val="50"/>
        <cfvo type="max"/>
        <color rgb="FFF8696B"/>
        <color rgb="FFFFEB84"/>
        <color rgb="FF63BE7B"/>
      </colorScale>
    </cfRule>
  </conditionalFormatting>
  <conditionalFormatting sqref="C62:D69">
    <cfRule type="colorScale" priority="3">
      <colorScale>
        <cfvo type="min"/>
        <cfvo type="percentile" val="50"/>
        <cfvo type="max"/>
        <color rgb="FFF8696B"/>
        <color rgb="FFFFEB84"/>
        <color rgb="FF63BE7B"/>
      </colorScale>
    </cfRule>
  </conditionalFormatting>
  <conditionalFormatting sqref="C72:D74 C42:D45 C77:D80">
    <cfRule type="colorScale" priority="9">
      <colorScale>
        <cfvo type="min"/>
        <cfvo type="percentile" val="50"/>
        <cfvo type="max"/>
        <color rgb="FFF8696B"/>
        <color rgb="FFFFEB84"/>
        <color rgb="FF63BE7B"/>
      </colorScale>
    </cfRule>
  </conditionalFormatting>
  <conditionalFormatting sqref="C77:D80">
    <cfRule type="colorScale" priority="2">
      <colorScale>
        <cfvo type="min"/>
        <cfvo type="percentile" val="50"/>
        <cfvo type="max"/>
        <color rgb="FFF8696B"/>
        <color rgb="FFFFEB84"/>
        <color rgb="FF63BE7B"/>
      </colorScale>
    </cfRule>
  </conditionalFormatting>
  <conditionalFormatting sqref="C83:D96">
    <cfRule type="colorScale" priority="8">
      <colorScale>
        <cfvo type="min"/>
        <cfvo type="percentile" val="50"/>
        <cfvo type="max"/>
        <color rgb="FFF8696B"/>
        <color rgb="FFFFEB84"/>
        <color rgb="FF63BE7B"/>
      </colorScale>
    </cfRule>
  </conditionalFormatting>
  <conditionalFormatting sqref="C99:D102 C52:D59">
    <cfRule type="colorScale" priority="7">
      <colorScale>
        <cfvo type="min"/>
        <cfvo type="percentile" val="50"/>
        <cfvo type="max"/>
        <color rgb="FFF8696B"/>
        <color rgb="FFFFEB84"/>
        <color rgb="FF63BE7B"/>
      </colorScale>
    </cfRule>
  </conditionalFormatting>
  <conditionalFormatting sqref="C99:D102">
    <cfRule type="colorScale" priority="1">
      <colorScale>
        <cfvo type="min"/>
        <cfvo type="percentile" val="50"/>
        <cfvo type="max"/>
        <color rgb="FFF8696B"/>
        <color rgb="FFFFEB84"/>
        <color rgb="FF63BE7B"/>
      </colorScale>
    </cfRule>
  </conditionalFormatting>
  <hyperlinks>
    <hyperlink ref="A1" location="Contents!A1" display="Back to contents page" xr:uid="{DFDEFF21-9B53-4B59-88FA-732EB5F3A78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1B90-8DA2-4948-9549-0D16AA6D1351}">
  <dimension ref="A1:I89"/>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289</v>
      </c>
    </row>
    <row r="3" spans="1:4" x14ac:dyDescent="0.35">
      <c r="A3" s="53" t="s">
        <v>370</v>
      </c>
    </row>
    <row r="5" spans="1:4" ht="29" x14ac:dyDescent="0.35">
      <c r="A5" s="34" t="s">
        <v>299</v>
      </c>
      <c r="B5" s="23" t="s">
        <v>234</v>
      </c>
      <c r="C5" s="24" t="s">
        <v>235</v>
      </c>
    </row>
    <row r="6" spans="1:4" x14ac:dyDescent="0.35">
      <c r="A6" s="45" t="s">
        <v>237</v>
      </c>
      <c r="B6" s="46">
        <v>280</v>
      </c>
      <c r="C6" s="61">
        <f t="shared" ref="C6:C10" si="0">B6/331</f>
        <v>0.84592145015105735</v>
      </c>
    </row>
    <row r="7" spans="1:4" x14ac:dyDescent="0.35">
      <c r="A7" s="25" t="s">
        <v>247</v>
      </c>
      <c r="B7">
        <v>157</v>
      </c>
      <c r="C7" s="59">
        <f t="shared" si="0"/>
        <v>0.47432024169184289</v>
      </c>
    </row>
    <row r="8" spans="1:4" x14ac:dyDescent="0.35">
      <c r="A8" s="25" t="s">
        <v>246</v>
      </c>
      <c r="B8">
        <v>138</v>
      </c>
      <c r="C8" s="59">
        <f t="shared" si="0"/>
        <v>0.41691842900302117</v>
      </c>
    </row>
    <row r="9" spans="1:4" x14ac:dyDescent="0.35">
      <c r="A9" s="25" t="s">
        <v>298</v>
      </c>
      <c r="B9">
        <v>145</v>
      </c>
      <c r="C9" s="59">
        <f t="shared" si="0"/>
        <v>0.4380664652567976</v>
      </c>
    </row>
    <row r="10" spans="1:4" x14ac:dyDescent="0.35">
      <c r="A10" s="28" t="s">
        <v>86</v>
      </c>
      <c r="B10" s="29">
        <v>72</v>
      </c>
      <c r="C10" s="60">
        <f t="shared" si="0"/>
        <v>0.2175226586102719</v>
      </c>
    </row>
    <row r="13" spans="1:4" ht="29" x14ac:dyDescent="0.35">
      <c r="A13" s="22" t="s">
        <v>19</v>
      </c>
      <c r="B13" s="23" t="s">
        <v>20</v>
      </c>
      <c r="C13" s="23" t="s">
        <v>238</v>
      </c>
      <c r="D13" s="24" t="s">
        <v>213</v>
      </c>
    </row>
    <row r="14" spans="1:4" x14ac:dyDescent="0.35">
      <c r="A14" s="25" t="s">
        <v>22</v>
      </c>
      <c r="B14">
        <v>4</v>
      </c>
      <c r="C14" s="39">
        <f t="shared" ref="C14:C19" si="1">B14/280</f>
        <v>1.4285714285714285E-2</v>
      </c>
      <c r="D14" s="40">
        <v>1.2084592145015106E-2</v>
      </c>
    </row>
    <row r="15" spans="1:4" x14ac:dyDescent="0.35">
      <c r="A15" s="25" t="s">
        <v>23</v>
      </c>
      <c r="B15">
        <v>30</v>
      </c>
      <c r="C15" s="39">
        <f t="shared" si="1"/>
        <v>0.10714285714285714</v>
      </c>
      <c r="D15" s="40">
        <v>0.11178247734138973</v>
      </c>
    </row>
    <row r="16" spans="1:4" x14ac:dyDescent="0.35">
      <c r="A16" s="25" t="s">
        <v>239</v>
      </c>
      <c r="B16">
        <v>153</v>
      </c>
      <c r="C16" s="39">
        <f t="shared" si="1"/>
        <v>0.54642857142857137</v>
      </c>
      <c r="D16" s="40">
        <v>0.54380664652567978</v>
      </c>
    </row>
    <row r="17" spans="1:9" x14ac:dyDescent="0.35">
      <c r="A17" s="25" t="s">
        <v>25</v>
      </c>
      <c r="B17">
        <v>73</v>
      </c>
      <c r="C17" s="39">
        <f t="shared" si="1"/>
        <v>0.26071428571428573</v>
      </c>
      <c r="D17" s="40">
        <v>0.25981873111782477</v>
      </c>
    </row>
    <row r="18" spans="1:9" x14ac:dyDescent="0.35">
      <c r="A18" s="25" t="s">
        <v>26</v>
      </c>
      <c r="B18">
        <v>18</v>
      </c>
      <c r="C18" s="39">
        <f t="shared" si="1"/>
        <v>6.4285714285714279E-2</v>
      </c>
      <c r="D18" s="40">
        <v>6.3444108761329304E-2</v>
      </c>
      <c r="H18" s="39"/>
      <c r="I18" s="39"/>
    </row>
    <row r="19" spans="1:9" x14ac:dyDescent="0.35">
      <c r="A19" s="28" t="s">
        <v>27</v>
      </c>
      <c r="B19" s="29">
        <v>2</v>
      </c>
      <c r="C19" s="42">
        <f t="shared" si="1"/>
        <v>7.1428571428571426E-3</v>
      </c>
      <c r="D19" s="41">
        <v>9.0634441087613302E-3</v>
      </c>
    </row>
    <row r="21" spans="1:9" ht="29" x14ac:dyDescent="0.35">
      <c r="A21" s="34" t="s">
        <v>115</v>
      </c>
      <c r="B21" s="23" t="s">
        <v>20</v>
      </c>
      <c r="C21" s="23" t="s">
        <v>238</v>
      </c>
      <c r="D21" s="24" t="s">
        <v>213</v>
      </c>
    </row>
    <row r="22" spans="1:9" x14ac:dyDescent="0.35">
      <c r="A22" s="25" t="s">
        <v>116</v>
      </c>
      <c r="B22">
        <v>21</v>
      </c>
      <c r="C22" s="39">
        <f>B22/280</f>
        <v>7.4999999999999997E-2</v>
      </c>
      <c r="D22" s="40">
        <v>8.1081081081081086E-2</v>
      </c>
    </row>
    <row r="23" spans="1:9" x14ac:dyDescent="0.35">
      <c r="A23" s="25" t="s">
        <v>117</v>
      </c>
      <c r="B23">
        <v>25</v>
      </c>
      <c r="C23" s="39">
        <f>B23/280</f>
        <v>8.9285714285714288E-2</v>
      </c>
      <c r="D23" s="40">
        <v>9.0090090090090086E-2</v>
      </c>
    </row>
    <row r="24" spans="1:9" x14ac:dyDescent="0.35">
      <c r="A24" s="25" t="s">
        <v>118</v>
      </c>
      <c r="B24">
        <v>111</v>
      </c>
      <c r="C24" s="39">
        <f>B24/280</f>
        <v>0.39642857142857141</v>
      </c>
      <c r="D24" s="40">
        <v>0.38438438438438438</v>
      </c>
    </row>
    <row r="25" spans="1:9" x14ac:dyDescent="0.35">
      <c r="A25" s="28" t="s">
        <v>119</v>
      </c>
      <c r="B25" s="29">
        <v>124</v>
      </c>
      <c r="C25" s="42">
        <f>B25/280</f>
        <v>0.44285714285714284</v>
      </c>
      <c r="D25" s="41">
        <v>0.44144144144144143</v>
      </c>
    </row>
    <row r="27" spans="1:9" ht="43.5" x14ac:dyDescent="0.35">
      <c r="A27" s="34" t="s">
        <v>145</v>
      </c>
      <c r="B27" s="23" t="s">
        <v>20</v>
      </c>
      <c r="C27" s="23" t="s">
        <v>238</v>
      </c>
      <c r="D27" s="24" t="s">
        <v>213</v>
      </c>
    </row>
    <row r="28" spans="1:9" x14ac:dyDescent="0.35">
      <c r="A28" s="25" t="s">
        <v>143</v>
      </c>
      <c r="B28">
        <v>75</v>
      </c>
      <c r="C28" s="39">
        <f>B28/280</f>
        <v>0.26785714285714285</v>
      </c>
      <c r="D28" s="40">
        <v>0.26586102719033233</v>
      </c>
      <c r="H28" s="39"/>
      <c r="I28" s="39"/>
    </row>
    <row r="29" spans="1:9" x14ac:dyDescent="0.35">
      <c r="A29" s="28" t="s">
        <v>144</v>
      </c>
      <c r="B29" s="29">
        <v>205</v>
      </c>
      <c r="C29" s="42">
        <f>B29/280</f>
        <v>0.7321428571428571</v>
      </c>
      <c r="D29" s="41">
        <v>0.73413897280966767</v>
      </c>
    </row>
    <row r="31" spans="1:9" ht="29" x14ac:dyDescent="0.35">
      <c r="A31" s="34" t="s">
        <v>105</v>
      </c>
      <c r="B31" s="23" t="s">
        <v>20</v>
      </c>
      <c r="C31" s="23" t="s">
        <v>238</v>
      </c>
      <c r="D31" s="24" t="s">
        <v>213</v>
      </c>
    </row>
    <row r="32" spans="1:9" x14ac:dyDescent="0.35">
      <c r="A32" s="25" t="s">
        <v>107</v>
      </c>
      <c r="B32">
        <v>19</v>
      </c>
      <c r="C32" s="39">
        <f t="shared" ref="C32:C39" si="2">B32/280</f>
        <v>6.7857142857142852E-2</v>
      </c>
      <c r="D32" s="40">
        <v>6.3444108761329304E-2</v>
      </c>
    </row>
    <row r="33" spans="1:4" x14ac:dyDescent="0.35">
      <c r="A33" s="25" t="s">
        <v>108</v>
      </c>
      <c r="B33">
        <v>9</v>
      </c>
      <c r="C33" s="39">
        <f t="shared" si="2"/>
        <v>3.214285714285714E-2</v>
      </c>
      <c r="D33" s="40">
        <v>3.3232628398791542E-2</v>
      </c>
    </row>
    <row r="34" spans="1:4" x14ac:dyDescent="0.35">
      <c r="A34" s="25" t="s">
        <v>109</v>
      </c>
      <c r="B34">
        <v>12</v>
      </c>
      <c r="C34" s="39">
        <f t="shared" si="2"/>
        <v>4.2857142857142858E-2</v>
      </c>
      <c r="D34" s="40">
        <v>3.9274924471299093E-2</v>
      </c>
    </row>
    <row r="35" spans="1:4" x14ac:dyDescent="0.35">
      <c r="A35" s="25" t="s">
        <v>110</v>
      </c>
      <c r="B35">
        <v>33</v>
      </c>
      <c r="C35" s="39">
        <f t="shared" si="2"/>
        <v>0.11785714285714285</v>
      </c>
      <c r="D35" s="40">
        <v>0.11480362537764351</v>
      </c>
    </row>
    <row r="36" spans="1:4" x14ac:dyDescent="0.35">
      <c r="A36" s="25" t="s">
        <v>111</v>
      </c>
      <c r="B36">
        <v>55</v>
      </c>
      <c r="C36" s="39">
        <f t="shared" si="2"/>
        <v>0.19642857142857142</v>
      </c>
      <c r="D36" s="40">
        <v>0.18731117824773413</v>
      </c>
    </row>
    <row r="37" spans="1:4" x14ac:dyDescent="0.35">
      <c r="A37" s="25" t="s">
        <v>112</v>
      </c>
      <c r="B37">
        <v>27</v>
      </c>
      <c r="C37" s="39">
        <f t="shared" si="2"/>
        <v>9.6428571428571433E-2</v>
      </c>
      <c r="D37" s="40">
        <v>0.10574018126888217</v>
      </c>
    </row>
    <row r="38" spans="1:4" x14ac:dyDescent="0.35">
      <c r="A38" s="25" t="s">
        <v>113</v>
      </c>
      <c r="B38">
        <v>106</v>
      </c>
      <c r="C38" s="39">
        <f t="shared" si="2"/>
        <v>0.37857142857142856</v>
      </c>
      <c r="D38" s="40">
        <v>0.39577039274924469</v>
      </c>
    </row>
    <row r="39" spans="1:4" x14ac:dyDescent="0.35">
      <c r="A39" s="28" t="s">
        <v>114</v>
      </c>
      <c r="B39" s="29">
        <v>18</v>
      </c>
      <c r="C39" s="42">
        <f t="shared" si="2"/>
        <v>6.4285714285714279E-2</v>
      </c>
      <c r="D39" s="41">
        <v>6.0422960725075532E-2</v>
      </c>
    </row>
    <row r="41" spans="1:4" ht="29" x14ac:dyDescent="0.35">
      <c r="A41" s="34" t="s">
        <v>154</v>
      </c>
      <c r="B41" s="23" t="s">
        <v>20</v>
      </c>
      <c r="C41" s="23" t="s">
        <v>238</v>
      </c>
      <c r="D41" s="24" t="s">
        <v>213</v>
      </c>
    </row>
    <row r="42" spans="1:4" x14ac:dyDescent="0.35">
      <c r="A42" s="25" t="s">
        <v>155</v>
      </c>
      <c r="B42">
        <v>186</v>
      </c>
      <c r="C42" s="39">
        <f t="shared" ref="C42:C49" si="3">B42/280</f>
        <v>0.66428571428571426</v>
      </c>
      <c r="D42" s="40">
        <v>0.66767371601208458</v>
      </c>
    </row>
    <row r="43" spans="1:4" x14ac:dyDescent="0.35">
      <c r="A43" s="25" t="s">
        <v>156</v>
      </c>
      <c r="B43">
        <v>70</v>
      </c>
      <c r="C43" s="39">
        <f t="shared" si="3"/>
        <v>0.25</v>
      </c>
      <c r="D43" s="40">
        <v>0.25377643504531722</v>
      </c>
    </row>
    <row r="44" spans="1:4" x14ac:dyDescent="0.35">
      <c r="A44" s="25" t="s">
        <v>157</v>
      </c>
      <c r="B44">
        <v>47</v>
      </c>
      <c r="C44" s="39">
        <f t="shared" si="3"/>
        <v>0.16785714285714284</v>
      </c>
      <c r="D44" s="40">
        <v>0.15105740181268881</v>
      </c>
    </row>
    <row r="45" spans="1:4" x14ac:dyDescent="0.35">
      <c r="A45" s="25" t="s">
        <v>158</v>
      </c>
      <c r="B45">
        <v>40</v>
      </c>
      <c r="C45" s="39">
        <f t="shared" si="3"/>
        <v>0.14285714285714285</v>
      </c>
      <c r="D45" s="40">
        <v>0.14501510574018128</v>
      </c>
    </row>
    <row r="46" spans="1:4" x14ac:dyDescent="0.35">
      <c r="A46" s="25" t="s">
        <v>159</v>
      </c>
      <c r="B46">
        <v>35</v>
      </c>
      <c r="C46" s="39">
        <f t="shared" si="3"/>
        <v>0.125</v>
      </c>
      <c r="D46" s="40">
        <v>0.12688821752265861</v>
      </c>
    </row>
    <row r="47" spans="1:4" x14ac:dyDescent="0.35">
      <c r="A47" s="25" t="s">
        <v>160</v>
      </c>
      <c r="B47">
        <v>31</v>
      </c>
      <c r="C47" s="39">
        <f t="shared" si="3"/>
        <v>0.11071428571428571</v>
      </c>
      <c r="D47" s="40">
        <v>0.10574018126888217</v>
      </c>
    </row>
    <row r="48" spans="1:4" x14ac:dyDescent="0.35">
      <c r="A48" s="25" t="s">
        <v>161</v>
      </c>
      <c r="B48">
        <v>24</v>
      </c>
      <c r="C48" s="39">
        <f t="shared" si="3"/>
        <v>8.5714285714285715E-2</v>
      </c>
      <c r="D48" s="40">
        <v>7.8549848942598186E-2</v>
      </c>
    </row>
    <row r="49" spans="1:4" x14ac:dyDescent="0.35">
      <c r="A49" s="28" t="s">
        <v>162</v>
      </c>
      <c r="B49" s="29">
        <v>4</v>
      </c>
      <c r="C49" s="42">
        <f t="shared" si="3"/>
        <v>1.4285714285714285E-2</v>
      </c>
      <c r="D49" s="41">
        <v>1.2084592145015106E-2</v>
      </c>
    </row>
    <row r="51" spans="1:4" ht="43.5" x14ac:dyDescent="0.35">
      <c r="A51" s="34" t="s">
        <v>146</v>
      </c>
      <c r="B51" s="23" t="s">
        <v>20</v>
      </c>
      <c r="C51" s="23" t="s">
        <v>238</v>
      </c>
      <c r="D51" s="24" t="s">
        <v>213</v>
      </c>
    </row>
    <row r="52" spans="1:4" x14ac:dyDescent="0.35">
      <c r="A52" s="25" t="s">
        <v>147</v>
      </c>
      <c r="B52">
        <v>234</v>
      </c>
      <c r="C52" s="39">
        <f>B52/280</f>
        <v>0.83571428571428574</v>
      </c>
      <c r="D52" s="40">
        <v>0.83383685800604235</v>
      </c>
    </row>
    <row r="53" spans="1:4" x14ac:dyDescent="0.35">
      <c r="A53" s="25" t="s">
        <v>148</v>
      </c>
      <c r="B53">
        <v>111</v>
      </c>
      <c r="C53" s="39">
        <f>B53/280</f>
        <v>0.39642857142857141</v>
      </c>
      <c r="D53" s="40">
        <v>0.38368580060422963</v>
      </c>
    </row>
    <row r="54" spans="1:4" x14ac:dyDescent="0.35">
      <c r="A54" s="28" t="s">
        <v>89</v>
      </c>
      <c r="B54" s="29">
        <v>33</v>
      </c>
      <c r="C54" s="42">
        <f>B54/280</f>
        <v>0.11785714285714285</v>
      </c>
      <c r="D54" s="41">
        <v>0.12084592145015106</v>
      </c>
    </row>
    <row r="56" spans="1:4" ht="87" x14ac:dyDescent="0.35">
      <c r="A56" s="34" t="s">
        <v>149</v>
      </c>
      <c r="B56" s="23" t="s">
        <v>20</v>
      </c>
      <c r="C56" s="23" t="s">
        <v>238</v>
      </c>
      <c r="D56" s="24" t="s">
        <v>213</v>
      </c>
    </row>
    <row r="57" spans="1:4" x14ac:dyDescent="0.35">
      <c r="A57" s="25" t="s">
        <v>150</v>
      </c>
      <c r="B57">
        <v>126</v>
      </c>
      <c r="C57" s="39">
        <f>B57/280</f>
        <v>0.45</v>
      </c>
      <c r="D57" s="40">
        <v>0.45015105740181272</v>
      </c>
    </row>
    <row r="58" spans="1:4" x14ac:dyDescent="0.35">
      <c r="A58" s="25" t="s">
        <v>152</v>
      </c>
      <c r="B58">
        <v>146</v>
      </c>
      <c r="C58" s="39">
        <f>B58/280</f>
        <v>0.52142857142857146</v>
      </c>
      <c r="D58" s="40">
        <v>0.52567975830815705</v>
      </c>
    </row>
    <row r="59" spans="1:4" x14ac:dyDescent="0.35">
      <c r="A59" s="25" t="s">
        <v>151</v>
      </c>
      <c r="B59">
        <v>167</v>
      </c>
      <c r="C59" s="39">
        <f>B59/280</f>
        <v>0.59642857142857142</v>
      </c>
      <c r="D59" s="40">
        <v>0.58308157099697888</v>
      </c>
    </row>
    <row r="60" spans="1:4" x14ac:dyDescent="0.35">
      <c r="A60" s="28" t="s">
        <v>153</v>
      </c>
      <c r="B60" s="29">
        <v>102</v>
      </c>
      <c r="C60" s="42">
        <f>B60/280</f>
        <v>0.36428571428571427</v>
      </c>
      <c r="D60" s="41">
        <v>0.38368580060422963</v>
      </c>
    </row>
    <row r="62" spans="1:4" ht="43.5" x14ac:dyDescent="0.35">
      <c r="A62" s="34" t="s">
        <v>163</v>
      </c>
      <c r="B62" s="23" t="s">
        <v>20</v>
      </c>
      <c r="C62" s="23" t="s">
        <v>238</v>
      </c>
      <c r="D62" s="24" t="s">
        <v>213</v>
      </c>
    </row>
    <row r="63" spans="1:4" x14ac:dyDescent="0.35">
      <c r="A63" s="25" t="s">
        <v>165</v>
      </c>
      <c r="B63">
        <v>115</v>
      </c>
      <c r="C63" s="39">
        <f t="shared" ref="C63:C76" si="4">B63/280</f>
        <v>0.4107142857142857</v>
      </c>
      <c r="D63" s="40">
        <v>0.38670694864048338</v>
      </c>
    </row>
    <row r="64" spans="1:4" x14ac:dyDescent="0.35">
      <c r="A64" s="25" t="s">
        <v>164</v>
      </c>
      <c r="B64">
        <v>109</v>
      </c>
      <c r="C64" s="39">
        <f t="shared" si="4"/>
        <v>0.38928571428571429</v>
      </c>
      <c r="D64" s="40">
        <v>0.39274924471299094</v>
      </c>
    </row>
    <row r="65" spans="1:4" x14ac:dyDescent="0.35">
      <c r="A65" s="25" t="s">
        <v>167</v>
      </c>
      <c r="B65">
        <v>66</v>
      </c>
      <c r="C65" s="39">
        <f t="shared" si="4"/>
        <v>0.23571428571428571</v>
      </c>
      <c r="D65" s="40">
        <v>0.22658610271903323</v>
      </c>
    </row>
    <row r="66" spans="1:4" x14ac:dyDescent="0.35">
      <c r="A66" s="25" t="s">
        <v>168</v>
      </c>
      <c r="B66">
        <v>63</v>
      </c>
      <c r="C66" s="39">
        <f t="shared" si="4"/>
        <v>0.22500000000000001</v>
      </c>
      <c r="D66" s="40">
        <v>0.2175226586102719</v>
      </c>
    </row>
    <row r="67" spans="1:4" x14ac:dyDescent="0.35">
      <c r="A67" s="25" t="s">
        <v>166</v>
      </c>
      <c r="B67">
        <v>60</v>
      </c>
      <c r="C67" s="39">
        <f t="shared" si="4"/>
        <v>0.21428571428571427</v>
      </c>
      <c r="D67" s="40">
        <v>0.23262839879154079</v>
      </c>
    </row>
    <row r="68" spans="1:4" x14ac:dyDescent="0.35">
      <c r="A68" s="25" t="s">
        <v>169</v>
      </c>
      <c r="B68">
        <v>56</v>
      </c>
      <c r="C68" s="39">
        <f t="shared" si="4"/>
        <v>0.2</v>
      </c>
      <c r="D68" s="40">
        <v>0.19637462235649547</v>
      </c>
    </row>
    <row r="69" spans="1:4" x14ac:dyDescent="0.35">
      <c r="A69" s="25" t="s">
        <v>170</v>
      </c>
      <c r="B69">
        <v>47</v>
      </c>
      <c r="C69" s="39">
        <f t="shared" si="4"/>
        <v>0.16785714285714284</v>
      </c>
      <c r="D69" s="40">
        <v>0.16314199395770393</v>
      </c>
    </row>
    <row r="70" spans="1:4" x14ac:dyDescent="0.35">
      <c r="A70" s="25" t="s">
        <v>171</v>
      </c>
      <c r="B70">
        <v>47</v>
      </c>
      <c r="C70" s="39">
        <f t="shared" si="4"/>
        <v>0.16785714285714284</v>
      </c>
      <c r="D70" s="40">
        <v>0.15105740181268881</v>
      </c>
    </row>
    <row r="71" spans="1:4" x14ac:dyDescent="0.35">
      <c r="A71" s="25" t="s">
        <v>172</v>
      </c>
      <c r="B71">
        <v>18</v>
      </c>
      <c r="C71" s="39">
        <f t="shared" si="4"/>
        <v>6.4285714285714279E-2</v>
      </c>
      <c r="D71" s="40">
        <v>5.7401812688821753E-2</v>
      </c>
    </row>
    <row r="72" spans="1:4" x14ac:dyDescent="0.35">
      <c r="A72" s="25" t="s">
        <v>173</v>
      </c>
      <c r="B72">
        <v>16</v>
      </c>
      <c r="C72" s="39">
        <f t="shared" si="4"/>
        <v>5.7142857142857141E-2</v>
      </c>
      <c r="D72" s="40">
        <v>5.1359516616314202E-2</v>
      </c>
    </row>
    <row r="73" spans="1:4" x14ac:dyDescent="0.35">
      <c r="A73" s="25" t="s">
        <v>174</v>
      </c>
      <c r="B73">
        <v>5</v>
      </c>
      <c r="C73" s="39">
        <f t="shared" si="4"/>
        <v>1.7857142857142856E-2</v>
      </c>
      <c r="D73" s="40">
        <v>2.4169184290030201E-2</v>
      </c>
    </row>
    <row r="74" spans="1:4" x14ac:dyDescent="0.35">
      <c r="A74" s="25" t="s">
        <v>175</v>
      </c>
      <c r="B74">
        <v>5</v>
      </c>
      <c r="C74" s="39">
        <f t="shared" si="4"/>
        <v>1.7857142857142856E-2</v>
      </c>
      <c r="D74" s="40">
        <v>1.812688821752266E-2</v>
      </c>
    </row>
    <row r="75" spans="1:4" x14ac:dyDescent="0.35">
      <c r="A75" s="25" t="s">
        <v>176</v>
      </c>
      <c r="B75">
        <v>3</v>
      </c>
      <c r="C75" s="39">
        <f t="shared" si="4"/>
        <v>1.0714285714285714E-2</v>
      </c>
      <c r="D75" s="40">
        <v>9.0634441087613302E-3</v>
      </c>
    </row>
    <row r="76" spans="1:4" x14ac:dyDescent="0.35">
      <c r="A76" s="28" t="s">
        <v>177</v>
      </c>
      <c r="B76" s="29">
        <v>2</v>
      </c>
      <c r="C76" s="42">
        <f t="shared" si="4"/>
        <v>7.1428571428571426E-3</v>
      </c>
      <c r="D76" s="41">
        <v>6.0422960725075529E-3</v>
      </c>
    </row>
    <row r="78" spans="1:4" ht="29" x14ac:dyDescent="0.35">
      <c r="A78" s="34" t="s">
        <v>94</v>
      </c>
      <c r="B78" s="23" t="s">
        <v>20</v>
      </c>
      <c r="C78" s="23" t="s">
        <v>238</v>
      </c>
      <c r="D78" s="24" t="s">
        <v>213</v>
      </c>
    </row>
    <row r="79" spans="1:4" x14ac:dyDescent="0.35">
      <c r="A79" s="25" t="s">
        <v>87</v>
      </c>
      <c r="B79">
        <v>39</v>
      </c>
      <c r="C79" s="39">
        <f>B79/280</f>
        <v>0.13928571428571429</v>
      </c>
      <c r="D79" s="40">
        <v>0.12386706948640483</v>
      </c>
    </row>
    <row r="80" spans="1:4" x14ac:dyDescent="0.35">
      <c r="A80" s="25" t="s">
        <v>88</v>
      </c>
      <c r="B80">
        <v>76</v>
      </c>
      <c r="C80" s="39">
        <f>B80/280</f>
        <v>0.27142857142857141</v>
      </c>
      <c r="D80" s="40">
        <v>0.25679758308157102</v>
      </c>
    </row>
    <row r="81" spans="1:4" x14ac:dyDescent="0.35">
      <c r="A81" s="25" t="s">
        <v>89</v>
      </c>
      <c r="B81">
        <v>73</v>
      </c>
      <c r="C81" s="39">
        <f>B81/280</f>
        <v>0.26071428571428573</v>
      </c>
      <c r="D81" s="40">
        <v>0.2809667673716012</v>
      </c>
    </row>
    <row r="82" spans="1:4" x14ac:dyDescent="0.35">
      <c r="A82" s="28" t="s">
        <v>90</v>
      </c>
      <c r="B82" s="29">
        <v>94</v>
      </c>
      <c r="C82" s="42">
        <f>B82/280</f>
        <v>0.33571428571428569</v>
      </c>
      <c r="D82" s="41">
        <v>0.30513595166163143</v>
      </c>
    </row>
    <row r="84" spans="1:4" ht="29" x14ac:dyDescent="0.35">
      <c r="A84" s="22" t="s">
        <v>240</v>
      </c>
      <c r="B84" s="23" t="s">
        <v>20</v>
      </c>
      <c r="C84" s="23" t="s">
        <v>21</v>
      </c>
      <c r="D84" s="24" t="s">
        <v>213</v>
      </c>
    </row>
    <row r="85" spans="1:4" x14ac:dyDescent="0.35">
      <c r="A85" s="25" t="s">
        <v>241</v>
      </c>
      <c r="B85">
        <v>56</v>
      </c>
      <c r="C85" s="39">
        <f>B85/280</f>
        <v>0.2</v>
      </c>
      <c r="D85" s="40">
        <f>65/331</f>
        <v>0.19637462235649547</v>
      </c>
    </row>
    <row r="86" spans="1:4" x14ac:dyDescent="0.35">
      <c r="A86" s="25" t="s">
        <v>242</v>
      </c>
      <c r="B86">
        <v>140</v>
      </c>
      <c r="C86" s="39">
        <f>B86/280</f>
        <v>0.5</v>
      </c>
      <c r="D86" s="40">
        <v>0.49546827794561932</v>
      </c>
    </row>
    <row r="87" spans="1:4" x14ac:dyDescent="0.35">
      <c r="A87" s="25" t="s">
        <v>243</v>
      </c>
      <c r="B87">
        <v>81</v>
      </c>
      <c r="C87" s="39">
        <f>B87/280</f>
        <v>0.28928571428571431</v>
      </c>
      <c r="D87" s="40">
        <v>0.27492447129909364</v>
      </c>
    </row>
    <row r="88" spans="1:4" x14ac:dyDescent="0.35">
      <c r="A88" s="25" t="s">
        <v>244</v>
      </c>
      <c r="B88">
        <v>61</v>
      </c>
      <c r="C88" s="39">
        <f>B88/280</f>
        <v>0.21785714285714286</v>
      </c>
      <c r="D88" s="40">
        <v>0.20845921450151059</v>
      </c>
    </row>
    <row r="89" spans="1:4" x14ac:dyDescent="0.35">
      <c r="A89" s="28" t="s">
        <v>245</v>
      </c>
      <c r="B89" s="29">
        <v>26</v>
      </c>
      <c r="C89" s="42">
        <f>B89/280</f>
        <v>9.285714285714286E-2</v>
      </c>
      <c r="D89" s="41">
        <v>9.3655589123867067E-2</v>
      </c>
    </row>
  </sheetData>
  <sheetProtection algorithmName="SHA-512" hashValue="fJ8EtztPSomoHesnvRCLQVxKEnYN/HTUEWc/B24KwG/EjxvrZunZfuGZUn1d6W18ofRrkbgF+bR4ZHCVBgiDKA==" saltValue="VtVTzvFnwM8awXPWctWC2A==" spinCount="100000" sheet="1" objects="1" scenarios="1"/>
  <sortState xmlns:xlrd2="http://schemas.microsoft.com/office/spreadsheetml/2017/richdata2" ref="A63:D76">
    <sortCondition descending="1" ref="B63:B76"/>
  </sortState>
  <conditionalFormatting sqref="C14:D19">
    <cfRule type="colorScale" priority="39">
      <colorScale>
        <cfvo type="min"/>
        <cfvo type="percentile" val="50"/>
        <cfvo type="max"/>
        <color rgb="FFF8696B"/>
        <color rgb="FFFFEB84"/>
        <color rgb="FF63BE7B"/>
      </colorScale>
    </cfRule>
  </conditionalFormatting>
  <conditionalFormatting sqref="C28:D29">
    <cfRule type="colorScale" priority="5">
      <colorScale>
        <cfvo type="min"/>
        <cfvo type="percentile" val="50"/>
        <cfvo type="max"/>
        <color rgb="FFF8696B"/>
        <color rgb="FFFFEB84"/>
        <color rgb="FF63BE7B"/>
      </colorScale>
    </cfRule>
  </conditionalFormatting>
  <conditionalFormatting sqref="C42:D49">
    <cfRule type="colorScale" priority="38">
      <colorScale>
        <cfvo type="min"/>
        <cfvo type="percentile" val="50"/>
        <cfvo type="max"/>
        <color rgb="FFF8696B"/>
        <color rgb="FFFFEB84"/>
        <color rgb="FF63BE7B"/>
      </colorScale>
    </cfRule>
  </conditionalFormatting>
  <conditionalFormatting sqref="C57:D60 C52:D54 C22:D25">
    <cfRule type="colorScale" priority="37">
      <colorScale>
        <cfvo type="min"/>
        <cfvo type="percentile" val="50"/>
        <cfvo type="max"/>
        <color rgb="FFF8696B"/>
        <color rgb="FFFFEB84"/>
        <color rgb="FF63BE7B"/>
      </colorScale>
    </cfRule>
  </conditionalFormatting>
  <conditionalFormatting sqref="C57:D60">
    <cfRule type="colorScale" priority="1">
      <colorScale>
        <cfvo type="min"/>
        <cfvo type="percentile" val="50"/>
        <cfvo type="max"/>
        <color rgb="FFF8696B"/>
        <color rgb="FFFFEB84"/>
        <color rgb="FF63BE7B"/>
      </colorScale>
    </cfRule>
  </conditionalFormatting>
  <conditionalFormatting sqref="C63:D76">
    <cfRule type="colorScale" priority="36">
      <colorScale>
        <cfvo type="min"/>
        <cfvo type="percentile" val="50"/>
        <cfvo type="max"/>
        <color rgb="FFF8696B"/>
        <color rgb="FFFFEB84"/>
        <color rgb="FF63BE7B"/>
      </colorScale>
    </cfRule>
  </conditionalFormatting>
  <conditionalFormatting sqref="C79:D82 C32:D39">
    <cfRule type="colorScale" priority="35">
      <colorScale>
        <cfvo type="min"/>
        <cfvo type="percentile" val="50"/>
        <cfvo type="max"/>
        <color rgb="FFF8696B"/>
        <color rgb="FFFFEB84"/>
        <color rgb="FF63BE7B"/>
      </colorScale>
    </cfRule>
  </conditionalFormatting>
  <conditionalFormatting sqref="C79:D82">
    <cfRule type="colorScale" priority="3">
      <colorScale>
        <cfvo type="min"/>
        <cfvo type="percentile" val="50"/>
        <cfvo type="max"/>
        <color rgb="FFF8696B"/>
        <color rgb="FFFFEB84"/>
        <color rgb="FF63BE7B"/>
      </colorScale>
    </cfRule>
  </conditionalFormatting>
  <conditionalFormatting sqref="C85:D89 C79:D82">
    <cfRule type="colorScale" priority="4">
      <colorScale>
        <cfvo type="min"/>
        <cfvo type="percentile" val="50"/>
        <cfvo type="max"/>
        <color rgb="FFF8696B"/>
        <color rgb="FFFFEB84"/>
        <color rgb="FF63BE7B"/>
      </colorScale>
    </cfRule>
  </conditionalFormatting>
  <conditionalFormatting sqref="C85:D89">
    <cfRule type="colorScale" priority="2">
      <colorScale>
        <cfvo type="min"/>
        <cfvo type="percentile" val="50"/>
        <cfvo type="max"/>
        <color rgb="FFF8696B"/>
        <color rgb="FFFFEB84"/>
        <color rgb="FF63BE7B"/>
      </colorScale>
    </cfRule>
  </conditionalFormatting>
  <conditionalFormatting sqref="H18:I18 H28:I28">
    <cfRule type="colorScale" priority="40">
      <colorScale>
        <cfvo type="min"/>
        <cfvo type="percentile" val="50"/>
        <cfvo type="max"/>
        <color rgb="FFF8696B"/>
        <color rgb="FFFFEB84"/>
        <color rgb="FF63BE7B"/>
      </colorScale>
    </cfRule>
  </conditionalFormatting>
  <hyperlinks>
    <hyperlink ref="A1" location="Contents!A1" display="Back to contents page" xr:uid="{DBD8FA36-28EF-446D-9A3A-F28D44CD98FD}"/>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99E-909A-42A6-86A5-6BD28ED418C5}">
  <dimension ref="A1:I89"/>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291</v>
      </c>
    </row>
    <row r="3" spans="1:4" x14ac:dyDescent="0.35">
      <c r="A3" s="53" t="s">
        <v>370</v>
      </c>
    </row>
    <row r="5" spans="1:4" ht="29" x14ac:dyDescent="0.35">
      <c r="A5" s="34" t="s">
        <v>299</v>
      </c>
      <c r="B5" s="23" t="s">
        <v>234</v>
      </c>
      <c r="C5" s="24" t="s">
        <v>235</v>
      </c>
    </row>
    <row r="6" spans="1:4" x14ac:dyDescent="0.35">
      <c r="A6" s="25" t="s">
        <v>237</v>
      </c>
      <c r="B6">
        <v>280</v>
      </c>
      <c r="C6" s="58">
        <f t="shared" ref="C6:C10" si="0">B6/331</f>
        <v>0.84592145015105735</v>
      </c>
    </row>
    <row r="7" spans="1:4" x14ac:dyDescent="0.35">
      <c r="A7" s="45" t="s">
        <v>247</v>
      </c>
      <c r="B7" s="46">
        <v>157</v>
      </c>
      <c r="C7" s="62">
        <f t="shared" si="0"/>
        <v>0.47432024169184289</v>
      </c>
    </row>
    <row r="8" spans="1:4" x14ac:dyDescent="0.35">
      <c r="A8" s="25" t="s">
        <v>246</v>
      </c>
      <c r="B8">
        <v>138</v>
      </c>
      <c r="C8" s="59">
        <f t="shared" si="0"/>
        <v>0.41691842900302117</v>
      </c>
    </row>
    <row r="9" spans="1:4" x14ac:dyDescent="0.35">
      <c r="A9" s="25" t="s">
        <v>298</v>
      </c>
      <c r="B9">
        <v>145</v>
      </c>
      <c r="C9" s="59">
        <f t="shared" si="0"/>
        <v>0.4380664652567976</v>
      </c>
    </row>
    <row r="10" spans="1:4" x14ac:dyDescent="0.35">
      <c r="A10" s="28" t="s">
        <v>86</v>
      </c>
      <c r="B10" s="29">
        <v>72</v>
      </c>
      <c r="C10" s="60">
        <f t="shared" si="0"/>
        <v>0.2175226586102719</v>
      </c>
    </row>
    <row r="13" spans="1:4" ht="29" x14ac:dyDescent="0.35">
      <c r="A13" s="22" t="s">
        <v>19</v>
      </c>
      <c r="B13" s="23" t="s">
        <v>20</v>
      </c>
      <c r="C13" s="23" t="s">
        <v>238</v>
      </c>
      <c r="D13" s="24" t="s">
        <v>213</v>
      </c>
    </row>
    <row r="14" spans="1:4" x14ac:dyDescent="0.35">
      <c r="A14" s="25" t="s">
        <v>22</v>
      </c>
      <c r="B14" s="49">
        <v>1</v>
      </c>
      <c r="C14" s="99">
        <f t="shared" ref="C14:C19" si="1">B14/157</f>
        <v>6.369426751592357E-3</v>
      </c>
      <c r="D14" s="100">
        <v>1.2084592145015106E-2</v>
      </c>
    </row>
    <row r="15" spans="1:4" x14ac:dyDescent="0.35">
      <c r="A15" s="25" t="s">
        <v>23</v>
      </c>
      <c r="B15" s="49">
        <v>21</v>
      </c>
      <c r="C15" s="99">
        <f t="shared" si="1"/>
        <v>0.13375796178343949</v>
      </c>
      <c r="D15" s="100">
        <v>0.11178247734138973</v>
      </c>
    </row>
    <row r="16" spans="1:4" x14ac:dyDescent="0.35">
      <c r="A16" s="25" t="s">
        <v>239</v>
      </c>
      <c r="B16" s="49">
        <v>80</v>
      </c>
      <c r="C16" s="99">
        <f t="shared" si="1"/>
        <v>0.50955414012738853</v>
      </c>
      <c r="D16" s="100">
        <v>0.54380664652567978</v>
      </c>
    </row>
    <row r="17" spans="1:9" x14ac:dyDescent="0.35">
      <c r="A17" s="25" t="s">
        <v>25</v>
      </c>
      <c r="B17" s="49">
        <v>40</v>
      </c>
      <c r="C17" s="99">
        <f t="shared" si="1"/>
        <v>0.25477707006369427</v>
      </c>
      <c r="D17" s="100">
        <v>0.25981873111782477</v>
      </c>
    </row>
    <row r="18" spans="1:9" x14ac:dyDescent="0.35">
      <c r="A18" s="25" t="s">
        <v>26</v>
      </c>
      <c r="B18" s="49">
        <v>14</v>
      </c>
      <c r="C18" s="99">
        <f t="shared" si="1"/>
        <v>8.9171974522292988E-2</v>
      </c>
      <c r="D18" s="100">
        <v>6.3444108761329304E-2</v>
      </c>
      <c r="H18" s="39"/>
      <c r="I18" s="39"/>
    </row>
    <row r="19" spans="1:9" x14ac:dyDescent="0.35">
      <c r="A19" s="28" t="s">
        <v>27</v>
      </c>
      <c r="B19" s="101">
        <v>1</v>
      </c>
      <c r="C19" s="102">
        <f t="shared" si="1"/>
        <v>6.369426751592357E-3</v>
      </c>
      <c r="D19" s="103">
        <v>9.0634441087613302E-3</v>
      </c>
    </row>
    <row r="20" spans="1:9" x14ac:dyDescent="0.35">
      <c r="B20" s="49"/>
      <c r="C20" s="49"/>
      <c r="D20" s="49"/>
    </row>
    <row r="21" spans="1:9" ht="29" x14ac:dyDescent="0.35">
      <c r="A21" s="34" t="s">
        <v>115</v>
      </c>
      <c r="B21" s="23" t="s">
        <v>20</v>
      </c>
      <c r="C21" s="23" t="s">
        <v>238</v>
      </c>
      <c r="D21" s="24" t="s">
        <v>213</v>
      </c>
    </row>
    <row r="22" spans="1:9" x14ac:dyDescent="0.35">
      <c r="A22" s="25" t="s">
        <v>116</v>
      </c>
      <c r="B22" s="49">
        <v>9</v>
      </c>
      <c r="C22" s="99">
        <f>B22/157</f>
        <v>5.7324840764331211E-2</v>
      </c>
      <c r="D22" s="100">
        <v>8.1081081081081086E-2</v>
      </c>
    </row>
    <row r="23" spans="1:9" x14ac:dyDescent="0.35">
      <c r="A23" s="25" t="s">
        <v>117</v>
      </c>
      <c r="B23" s="49">
        <v>14</v>
      </c>
      <c r="C23" s="99">
        <f>B23/157</f>
        <v>8.9171974522292988E-2</v>
      </c>
      <c r="D23" s="100">
        <v>9.0090090090090086E-2</v>
      </c>
    </row>
    <row r="24" spans="1:9" x14ac:dyDescent="0.35">
      <c r="A24" s="25" t="s">
        <v>118</v>
      </c>
      <c r="B24" s="49">
        <v>67</v>
      </c>
      <c r="C24" s="99">
        <f>B24/157</f>
        <v>0.42675159235668791</v>
      </c>
      <c r="D24" s="100">
        <v>0.38438438438438438</v>
      </c>
    </row>
    <row r="25" spans="1:9" x14ac:dyDescent="0.35">
      <c r="A25" s="28" t="s">
        <v>119</v>
      </c>
      <c r="B25" s="101">
        <v>67</v>
      </c>
      <c r="C25" s="102">
        <f>B25/157</f>
        <v>0.42675159235668791</v>
      </c>
      <c r="D25" s="103">
        <v>0.44144144144144143</v>
      </c>
    </row>
    <row r="26" spans="1:9" x14ac:dyDescent="0.35">
      <c r="B26" s="49"/>
      <c r="C26" s="49"/>
      <c r="D26" s="49"/>
    </row>
    <row r="27" spans="1:9" ht="43.5" x14ac:dyDescent="0.35">
      <c r="A27" s="34" t="s">
        <v>145</v>
      </c>
      <c r="B27" s="23" t="s">
        <v>20</v>
      </c>
      <c r="C27" s="23" t="s">
        <v>238</v>
      </c>
      <c r="D27" s="24" t="s">
        <v>213</v>
      </c>
    </row>
    <row r="28" spans="1:9" x14ac:dyDescent="0.35">
      <c r="A28" s="25" t="s">
        <v>143</v>
      </c>
      <c r="B28" s="49">
        <v>44</v>
      </c>
      <c r="C28" s="99">
        <f>B28/157</f>
        <v>0.28025477707006369</v>
      </c>
      <c r="D28" s="100">
        <v>0.26586102719033233</v>
      </c>
      <c r="H28" s="39"/>
      <c r="I28" s="39"/>
    </row>
    <row r="29" spans="1:9" x14ac:dyDescent="0.35">
      <c r="A29" s="28" t="s">
        <v>144</v>
      </c>
      <c r="B29" s="101">
        <v>113</v>
      </c>
      <c r="C29" s="102">
        <f>B29/157</f>
        <v>0.71974522292993626</v>
      </c>
      <c r="D29" s="103">
        <v>0.73413897280966767</v>
      </c>
    </row>
    <row r="30" spans="1:9" x14ac:dyDescent="0.35">
      <c r="B30" s="49"/>
      <c r="C30" s="49"/>
      <c r="D30" s="49"/>
    </row>
    <row r="31" spans="1:9" ht="29" x14ac:dyDescent="0.35">
      <c r="A31" s="34" t="s">
        <v>105</v>
      </c>
      <c r="B31" s="23" t="s">
        <v>20</v>
      </c>
      <c r="C31" s="23" t="s">
        <v>238</v>
      </c>
      <c r="D31" s="24" t="s">
        <v>213</v>
      </c>
    </row>
    <row r="32" spans="1:9" x14ac:dyDescent="0.35">
      <c r="A32" s="25" t="s">
        <v>107</v>
      </c>
      <c r="B32" s="49">
        <v>11</v>
      </c>
      <c r="C32" s="99">
        <f t="shared" ref="C32:C39" si="2">B32/157</f>
        <v>7.0063694267515922E-2</v>
      </c>
      <c r="D32" s="100">
        <v>6.3444108761329304E-2</v>
      </c>
    </row>
    <row r="33" spans="1:4" x14ac:dyDescent="0.35">
      <c r="A33" s="25" t="s">
        <v>108</v>
      </c>
      <c r="B33" s="49">
        <v>6</v>
      </c>
      <c r="C33" s="99">
        <f t="shared" si="2"/>
        <v>3.8216560509554139E-2</v>
      </c>
      <c r="D33" s="100">
        <v>3.3232628398791542E-2</v>
      </c>
    </row>
    <row r="34" spans="1:4" x14ac:dyDescent="0.35">
      <c r="A34" s="25" t="s">
        <v>109</v>
      </c>
      <c r="B34" s="49">
        <v>7</v>
      </c>
      <c r="C34" s="99">
        <f t="shared" si="2"/>
        <v>4.4585987261146494E-2</v>
      </c>
      <c r="D34" s="100">
        <v>3.9274924471299093E-2</v>
      </c>
    </row>
    <row r="35" spans="1:4" x14ac:dyDescent="0.35">
      <c r="A35" s="25" t="s">
        <v>110</v>
      </c>
      <c r="B35" s="49">
        <v>14</v>
      </c>
      <c r="C35" s="99">
        <f t="shared" si="2"/>
        <v>8.9171974522292988E-2</v>
      </c>
      <c r="D35" s="100">
        <v>0.11480362537764351</v>
      </c>
    </row>
    <row r="36" spans="1:4" x14ac:dyDescent="0.35">
      <c r="A36" s="25" t="s">
        <v>111</v>
      </c>
      <c r="B36" s="49">
        <v>35</v>
      </c>
      <c r="C36" s="99">
        <f t="shared" si="2"/>
        <v>0.22292993630573249</v>
      </c>
      <c r="D36" s="100">
        <v>0.18731117824773413</v>
      </c>
    </row>
    <row r="37" spans="1:4" x14ac:dyDescent="0.35">
      <c r="A37" s="25" t="s">
        <v>112</v>
      </c>
      <c r="B37" s="49">
        <v>18</v>
      </c>
      <c r="C37" s="99">
        <f t="shared" si="2"/>
        <v>0.11464968152866242</v>
      </c>
      <c r="D37" s="100">
        <v>0.10574018126888217</v>
      </c>
    </row>
    <row r="38" spans="1:4" x14ac:dyDescent="0.35">
      <c r="A38" s="25" t="s">
        <v>113</v>
      </c>
      <c r="B38" s="49">
        <v>56</v>
      </c>
      <c r="C38" s="99">
        <f t="shared" si="2"/>
        <v>0.35668789808917195</v>
      </c>
      <c r="D38" s="100">
        <v>0.39577039274924469</v>
      </c>
    </row>
    <row r="39" spans="1:4" x14ac:dyDescent="0.35">
      <c r="A39" s="28" t="s">
        <v>114</v>
      </c>
      <c r="B39" s="101">
        <v>9</v>
      </c>
      <c r="C39" s="102">
        <f t="shared" si="2"/>
        <v>5.7324840764331211E-2</v>
      </c>
      <c r="D39" s="103">
        <v>6.0422960725075532E-2</v>
      </c>
    </row>
    <row r="40" spans="1:4" x14ac:dyDescent="0.35">
      <c r="B40" s="49"/>
      <c r="C40" s="49"/>
      <c r="D40" s="49"/>
    </row>
    <row r="41" spans="1:4" ht="29" x14ac:dyDescent="0.35">
      <c r="A41" s="34" t="s">
        <v>154</v>
      </c>
      <c r="B41" s="23" t="s">
        <v>20</v>
      </c>
      <c r="C41" s="23" t="s">
        <v>238</v>
      </c>
      <c r="D41" s="24" t="s">
        <v>213</v>
      </c>
    </row>
    <row r="42" spans="1:4" x14ac:dyDescent="0.35">
      <c r="A42" s="25" t="s">
        <v>155</v>
      </c>
      <c r="B42" s="49">
        <v>101</v>
      </c>
      <c r="C42" s="99">
        <f t="shared" ref="C42:C49" si="3">B42/157</f>
        <v>0.64331210191082799</v>
      </c>
      <c r="D42" s="100">
        <v>0.66767371601208458</v>
      </c>
    </row>
    <row r="43" spans="1:4" x14ac:dyDescent="0.35">
      <c r="A43" s="25" t="s">
        <v>156</v>
      </c>
      <c r="B43" s="49">
        <v>48</v>
      </c>
      <c r="C43" s="99">
        <f t="shared" si="3"/>
        <v>0.30573248407643311</v>
      </c>
      <c r="D43" s="100">
        <v>0.25377643504531722</v>
      </c>
    </row>
    <row r="44" spans="1:4" x14ac:dyDescent="0.35">
      <c r="A44" s="25" t="s">
        <v>158</v>
      </c>
      <c r="B44" s="49">
        <v>27</v>
      </c>
      <c r="C44" s="99">
        <f t="shared" si="3"/>
        <v>0.17197452229299362</v>
      </c>
      <c r="D44" s="100">
        <v>0.14501510574018128</v>
      </c>
    </row>
    <row r="45" spans="1:4" x14ac:dyDescent="0.35">
      <c r="A45" s="25" t="s">
        <v>157</v>
      </c>
      <c r="B45" s="49">
        <v>23</v>
      </c>
      <c r="C45" s="99">
        <f t="shared" si="3"/>
        <v>0.1464968152866242</v>
      </c>
      <c r="D45" s="100">
        <v>0.15105740181268881</v>
      </c>
    </row>
    <row r="46" spans="1:4" x14ac:dyDescent="0.35">
      <c r="A46" s="25" t="s">
        <v>159</v>
      </c>
      <c r="B46" s="49">
        <v>21</v>
      </c>
      <c r="C46" s="99">
        <f t="shared" si="3"/>
        <v>0.13375796178343949</v>
      </c>
      <c r="D46" s="100">
        <v>0.12688821752265861</v>
      </c>
    </row>
    <row r="47" spans="1:4" x14ac:dyDescent="0.35">
      <c r="A47" s="25" t="s">
        <v>160</v>
      </c>
      <c r="B47" s="49">
        <v>16</v>
      </c>
      <c r="C47" s="99">
        <f t="shared" si="3"/>
        <v>0.10191082802547771</v>
      </c>
      <c r="D47" s="100">
        <v>0.10574018126888217</v>
      </c>
    </row>
    <row r="48" spans="1:4" x14ac:dyDescent="0.35">
      <c r="A48" s="25" t="s">
        <v>161</v>
      </c>
      <c r="B48" s="49">
        <v>11</v>
      </c>
      <c r="C48" s="99">
        <f t="shared" si="3"/>
        <v>7.0063694267515922E-2</v>
      </c>
      <c r="D48" s="100">
        <v>7.8549848942598186E-2</v>
      </c>
    </row>
    <row r="49" spans="1:4" x14ac:dyDescent="0.35">
      <c r="A49" s="28" t="s">
        <v>162</v>
      </c>
      <c r="B49" s="101">
        <v>1</v>
      </c>
      <c r="C49" s="102">
        <f t="shared" si="3"/>
        <v>6.369426751592357E-3</v>
      </c>
      <c r="D49" s="103">
        <v>1.2084592145015106E-2</v>
      </c>
    </row>
    <row r="50" spans="1:4" x14ac:dyDescent="0.35">
      <c r="B50" s="49"/>
      <c r="C50" s="49"/>
      <c r="D50" s="49"/>
    </row>
    <row r="51" spans="1:4" ht="43.5" x14ac:dyDescent="0.35">
      <c r="A51" s="34" t="s">
        <v>146</v>
      </c>
      <c r="B51" s="23" t="s">
        <v>20</v>
      </c>
      <c r="C51" s="23" t="s">
        <v>238</v>
      </c>
      <c r="D51" s="24" t="s">
        <v>213</v>
      </c>
    </row>
    <row r="52" spans="1:4" x14ac:dyDescent="0.35">
      <c r="A52" s="25" t="s">
        <v>147</v>
      </c>
      <c r="B52" s="49">
        <v>132</v>
      </c>
      <c r="C52" s="99">
        <f>B52/157</f>
        <v>0.84076433121019112</v>
      </c>
      <c r="D52" s="100">
        <v>0.83383685800604235</v>
      </c>
    </row>
    <row r="53" spans="1:4" x14ac:dyDescent="0.35">
      <c r="A53" s="25" t="s">
        <v>148</v>
      </c>
      <c r="B53" s="49">
        <v>66</v>
      </c>
      <c r="C53" s="99">
        <f>B53/157</f>
        <v>0.42038216560509556</v>
      </c>
      <c r="D53" s="100">
        <v>0.38368580060422963</v>
      </c>
    </row>
    <row r="54" spans="1:4" x14ac:dyDescent="0.35">
      <c r="A54" s="28" t="s">
        <v>89</v>
      </c>
      <c r="B54" s="101">
        <v>17</v>
      </c>
      <c r="C54" s="102">
        <f>B54/157</f>
        <v>0.10828025477707007</v>
      </c>
      <c r="D54" s="103">
        <v>0.12084592145015106</v>
      </c>
    </row>
    <row r="55" spans="1:4" x14ac:dyDescent="0.35">
      <c r="B55" s="49"/>
      <c r="C55" s="49"/>
      <c r="D55" s="49"/>
    </row>
    <row r="56" spans="1:4" ht="87" x14ac:dyDescent="0.35">
      <c r="A56" s="34" t="s">
        <v>149</v>
      </c>
      <c r="B56" s="23" t="s">
        <v>20</v>
      </c>
      <c r="C56" s="23" t="s">
        <v>238</v>
      </c>
      <c r="D56" s="24" t="s">
        <v>213</v>
      </c>
    </row>
    <row r="57" spans="1:4" x14ac:dyDescent="0.35">
      <c r="A57" s="25" t="s">
        <v>150</v>
      </c>
      <c r="B57" s="49">
        <v>75</v>
      </c>
      <c r="C57" s="99">
        <f>B57/157</f>
        <v>0.47770700636942676</v>
      </c>
      <c r="D57" s="100">
        <v>0.45015105740181272</v>
      </c>
    </row>
    <row r="58" spans="1:4" x14ac:dyDescent="0.35">
      <c r="A58" s="25" t="s">
        <v>152</v>
      </c>
      <c r="B58" s="49">
        <v>77</v>
      </c>
      <c r="C58" s="99">
        <f>B58/157</f>
        <v>0.49044585987261147</v>
      </c>
      <c r="D58" s="100">
        <v>0.52567975830815705</v>
      </c>
    </row>
    <row r="59" spans="1:4" x14ac:dyDescent="0.35">
      <c r="A59" s="25" t="s">
        <v>151</v>
      </c>
      <c r="B59" s="49">
        <v>99</v>
      </c>
      <c r="C59" s="99">
        <f>B59/157</f>
        <v>0.63057324840764328</v>
      </c>
      <c r="D59" s="100">
        <v>0.58308157099697888</v>
      </c>
    </row>
    <row r="60" spans="1:4" x14ac:dyDescent="0.35">
      <c r="A60" s="28" t="s">
        <v>153</v>
      </c>
      <c r="B60" s="101">
        <v>52</v>
      </c>
      <c r="C60" s="102">
        <f>B60/157</f>
        <v>0.33121019108280253</v>
      </c>
      <c r="D60" s="103">
        <v>0.38368580060422963</v>
      </c>
    </row>
    <row r="61" spans="1:4" x14ac:dyDescent="0.35">
      <c r="B61" s="49"/>
      <c r="C61" s="49"/>
      <c r="D61" s="49"/>
    </row>
    <row r="62" spans="1:4" ht="43.5" x14ac:dyDescent="0.35">
      <c r="A62" s="34" t="s">
        <v>163</v>
      </c>
      <c r="B62" s="23" t="s">
        <v>20</v>
      </c>
      <c r="C62" s="23" t="s">
        <v>238</v>
      </c>
      <c r="D62" s="24" t="s">
        <v>213</v>
      </c>
    </row>
    <row r="63" spans="1:4" x14ac:dyDescent="0.35">
      <c r="A63" s="25" t="s">
        <v>165</v>
      </c>
      <c r="B63" s="49">
        <v>69</v>
      </c>
      <c r="C63" s="99">
        <f t="shared" ref="C63:C76" si="4">B63/157</f>
        <v>0.43949044585987262</v>
      </c>
      <c r="D63" s="100">
        <v>0.38670694864048338</v>
      </c>
    </row>
    <row r="64" spans="1:4" x14ac:dyDescent="0.35">
      <c r="A64" s="25" t="s">
        <v>164</v>
      </c>
      <c r="B64" s="49">
        <v>59</v>
      </c>
      <c r="C64" s="99">
        <f t="shared" si="4"/>
        <v>0.37579617834394907</v>
      </c>
      <c r="D64" s="100">
        <v>0.39274924471299094</v>
      </c>
    </row>
    <row r="65" spans="1:4" x14ac:dyDescent="0.35">
      <c r="A65" s="25" t="s">
        <v>168</v>
      </c>
      <c r="B65" s="49">
        <v>39</v>
      </c>
      <c r="C65" s="99">
        <f t="shared" si="4"/>
        <v>0.24840764331210191</v>
      </c>
      <c r="D65" s="100">
        <v>0.2175226586102719</v>
      </c>
    </row>
    <row r="66" spans="1:4" x14ac:dyDescent="0.35">
      <c r="A66" s="25" t="s">
        <v>167</v>
      </c>
      <c r="B66" s="49">
        <v>37</v>
      </c>
      <c r="C66" s="99">
        <f t="shared" si="4"/>
        <v>0.2356687898089172</v>
      </c>
      <c r="D66" s="100">
        <v>0.22658610271903323</v>
      </c>
    </row>
    <row r="67" spans="1:4" x14ac:dyDescent="0.35">
      <c r="A67" s="25" t="s">
        <v>169</v>
      </c>
      <c r="B67" s="49">
        <v>31</v>
      </c>
      <c r="C67" s="99">
        <f t="shared" si="4"/>
        <v>0.19745222929936307</v>
      </c>
      <c r="D67" s="100">
        <v>0.19637462235649547</v>
      </c>
    </row>
    <row r="68" spans="1:4" x14ac:dyDescent="0.35">
      <c r="A68" s="25" t="s">
        <v>166</v>
      </c>
      <c r="B68" s="49">
        <v>29</v>
      </c>
      <c r="C68" s="99">
        <f t="shared" si="4"/>
        <v>0.18471337579617833</v>
      </c>
      <c r="D68" s="100">
        <v>0.23262839879154079</v>
      </c>
    </row>
    <row r="69" spans="1:4" x14ac:dyDescent="0.35">
      <c r="A69" s="25" t="s">
        <v>170</v>
      </c>
      <c r="B69" s="49">
        <v>27</v>
      </c>
      <c r="C69" s="99">
        <f t="shared" si="4"/>
        <v>0.17197452229299362</v>
      </c>
      <c r="D69" s="100">
        <v>0.16314199395770393</v>
      </c>
    </row>
    <row r="70" spans="1:4" x14ac:dyDescent="0.35">
      <c r="A70" s="25" t="s">
        <v>171</v>
      </c>
      <c r="B70" s="49">
        <v>27</v>
      </c>
      <c r="C70" s="99">
        <f t="shared" si="4"/>
        <v>0.17197452229299362</v>
      </c>
      <c r="D70" s="100">
        <v>0.15105740181268881</v>
      </c>
    </row>
    <row r="71" spans="1:4" x14ac:dyDescent="0.35">
      <c r="A71" s="25" t="s">
        <v>172</v>
      </c>
      <c r="B71" s="49">
        <v>14</v>
      </c>
      <c r="C71" s="99">
        <f t="shared" si="4"/>
        <v>8.9171974522292988E-2</v>
      </c>
      <c r="D71" s="100">
        <v>5.7401812688821753E-2</v>
      </c>
    </row>
    <row r="72" spans="1:4" x14ac:dyDescent="0.35">
      <c r="A72" s="25" t="s">
        <v>173</v>
      </c>
      <c r="B72" s="49">
        <v>5</v>
      </c>
      <c r="C72" s="99">
        <f t="shared" si="4"/>
        <v>3.1847133757961783E-2</v>
      </c>
      <c r="D72" s="100">
        <v>5.1359516616314202E-2</v>
      </c>
    </row>
    <row r="73" spans="1:4" x14ac:dyDescent="0.35">
      <c r="A73" s="25" t="s">
        <v>174</v>
      </c>
      <c r="B73" s="49">
        <v>4</v>
      </c>
      <c r="C73" s="99">
        <f t="shared" si="4"/>
        <v>2.5477707006369428E-2</v>
      </c>
      <c r="D73" s="100">
        <v>2.4169184290030201E-2</v>
      </c>
    </row>
    <row r="74" spans="1:4" x14ac:dyDescent="0.35">
      <c r="A74" s="25" t="s">
        <v>175</v>
      </c>
      <c r="B74" s="49">
        <v>3</v>
      </c>
      <c r="C74" s="99">
        <f t="shared" si="4"/>
        <v>1.9108280254777069E-2</v>
      </c>
      <c r="D74" s="100">
        <v>1.812688821752266E-2</v>
      </c>
    </row>
    <row r="75" spans="1:4" x14ac:dyDescent="0.35">
      <c r="A75" s="25" t="s">
        <v>176</v>
      </c>
      <c r="B75" s="49">
        <v>2</v>
      </c>
      <c r="C75" s="99">
        <f t="shared" si="4"/>
        <v>1.2738853503184714E-2</v>
      </c>
      <c r="D75" s="100">
        <v>9.0634441087613302E-3</v>
      </c>
    </row>
    <row r="76" spans="1:4" x14ac:dyDescent="0.35">
      <c r="A76" s="28" t="s">
        <v>177</v>
      </c>
      <c r="B76" s="101">
        <v>1</v>
      </c>
      <c r="C76" s="102">
        <f t="shared" si="4"/>
        <v>6.369426751592357E-3</v>
      </c>
      <c r="D76" s="103">
        <v>6.0422960725075529E-3</v>
      </c>
    </row>
    <row r="77" spans="1:4" x14ac:dyDescent="0.35">
      <c r="B77" s="49"/>
      <c r="C77" s="49"/>
      <c r="D77" s="49"/>
    </row>
    <row r="78" spans="1:4" ht="29" x14ac:dyDescent="0.35">
      <c r="A78" s="34" t="s">
        <v>94</v>
      </c>
      <c r="B78" s="23" t="s">
        <v>20</v>
      </c>
      <c r="C78" s="23" t="s">
        <v>238</v>
      </c>
      <c r="D78" s="24" t="s">
        <v>213</v>
      </c>
    </row>
    <row r="79" spans="1:4" x14ac:dyDescent="0.35">
      <c r="A79" s="25" t="s">
        <v>87</v>
      </c>
      <c r="B79" s="49">
        <v>26</v>
      </c>
      <c r="C79" s="99">
        <f>B79/157</f>
        <v>0.16560509554140126</v>
      </c>
      <c r="D79" s="100">
        <v>0.12386706948640483</v>
      </c>
    </row>
    <row r="80" spans="1:4" x14ac:dyDescent="0.35">
      <c r="A80" s="25" t="s">
        <v>88</v>
      </c>
      <c r="B80" s="49">
        <v>46</v>
      </c>
      <c r="C80" s="99">
        <f>B80/157</f>
        <v>0.2929936305732484</v>
      </c>
      <c r="D80" s="100">
        <v>0.25679758308157102</v>
      </c>
    </row>
    <row r="81" spans="1:4" x14ac:dyDescent="0.35">
      <c r="A81" s="25" t="s">
        <v>89</v>
      </c>
      <c r="B81" s="49">
        <v>40</v>
      </c>
      <c r="C81" s="99">
        <f>B81/157</f>
        <v>0.25477707006369427</v>
      </c>
      <c r="D81" s="100">
        <v>0.2809667673716012</v>
      </c>
    </row>
    <row r="82" spans="1:4" x14ac:dyDescent="0.35">
      <c r="A82" s="28" t="s">
        <v>90</v>
      </c>
      <c r="B82" s="101">
        <v>61</v>
      </c>
      <c r="C82" s="102">
        <f>B82/157</f>
        <v>0.38853503184713378</v>
      </c>
      <c r="D82" s="103">
        <v>0.30513595166163143</v>
      </c>
    </row>
    <row r="83" spans="1:4" x14ac:dyDescent="0.35">
      <c r="B83" s="49"/>
      <c r="C83" s="49"/>
      <c r="D83" s="49"/>
    </row>
    <row r="84" spans="1:4" ht="29" x14ac:dyDescent="0.35">
      <c r="A84" s="22" t="s">
        <v>240</v>
      </c>
      <c r="B84" s="23" t="s">
        <v>20</v>
      </c>
      <c r="C84" s="23" t="s">
        <v>21</v>
      </c>
      <c r="D84" s="24" t="s">
        <v>213</v>
      </c>
    </row>
    <row r="85" spans="1:4" x14ac:dyDescent="0.35">
      <c r="A85" s="25" t="s">
        <v>241</v>
      </c>
      <c r="B85" s="49">
        <v>32</v>
      </c>
      <c r="C85" s="99">
        <f>B85/157</f>
        <v>0.20382165605095542</v>
      </c>
      <c r="D85" s="100">
        <f>65/331</f>
        <v>0.19637462235649547</v>
      </c>
    </row>
    <row r="86" spans="1:4" x14ac:dyDescent="0.35">
      <c r="A86" s="25" t="s">
        <v>242</v>
      </c>
      <c r="B86" s="49">
        <v>85</v>
      </c>
      <c r="C86" s="99">
        <f>B86/157</f>
        <v>0.54140127388535031</v>
      </c>
      <c r="D86" s="100">
        <v>0.49546827794561932</v>
      </c>
    </row>
    <row r="87" spans="1:4" x14ac:dyDescent="0.35">
      <c r="A87" s="25" t="s">
        <v>243</v>
      </c>
      <c r="B87" s="49">
        <v>47</v>
      </c>
      <c r="C87" s="99">
        <f>B87/157</f>
        <v>0.29936305732484075</v>
      </c>
      <c r="D87" s="100">
        <v>0.27492447129909364</v>
      </c>
    </row>
    <row r="88" spans="1:4" x14ac:dyDescent="0.35">
      <c r="A88" s="25" t="s">
        <v>244</v>
      </c>
      <c r="B88" s="49">
        <v>30</v>
      </c>
      <c r="C88" s="99">
        <f>B88/157</f>
        <v>0.19108280254777071</v>
      </c>
      <c r="D88" s="100">
        <v>0.20845921450151059</v>
      </c>
    </row>
    <row r="89" spans="1:4" x14ac:dyDescent="0.35">
      <c r="A89" s="28" t="s">
        <v>245</v>
      </c>
      <c r="B89" s="101">
        <v>15</v>
      </c>
      <c r="C89" s="102">
        <f>B89/157</f>
        <v>9.5541401273885357E-2</v>
      </c>
      <c r="D89" s="103">
        <v>9.3655589123867067E-2</v>
      </c>
    </row>
  </sheetData>
  <sheetProtection algorithmName="SHA-512" hashValue="kkULF1D7+vlIbuPcsUTCn1uLGos/HI4WC1EScQ895x5eBWT7k9x2MDIgrXbKXTfrS4dVVOozXs1VxzW/YT26GA==" saltValue="eVRvnpXgxMVZl12WmfTQmw==" spinCount="100000" sheet="1" objects="1" scenarios="1"/>
  <sortState xmlns:xlrd2="http://schemas.microsoft.com/office/spreadsheetml/2017/richdata2" ref="A63:D76">
    <sortCondition descending="1" ref="B63:B76"/>
  </sortState>
  <conditionalFormatting sqref="C14:D19">
    <cfRule type="colorScale" priority="13">
      <colorScale>
        <cfvo type="min"/>
        <cfvo type="percentile" val="50"/>
        <cfvo type="max"/>
        <color rgb="FFF8696B"/>
        <color rgb="FFFFEB84"/>
        <color rgb="FF63BE7B"/>
      </colorScale>
    </cfRule>
  </conditionalFormatting>
  <conditionalFormatting sqref="C22:D25">
    <cfRule type="colorScale" priority="6">
      <colorScale>
        <cfvo type="min"/>
        <cfvo type="percentile" val="50"/>
        <cfvo type="max"/>
        <color rgb="FFF8696B"/>
        <color rgb="FFFFEB84"/>
        <color rgb="FF63BE7B"/>
      </colorScale>
    </cfRule>
  </conditionalFormatting>
  <conditionalFormatting sqref="C28:D29">
    <cfRule type="colorScale" priority="7">
      <colorScale>
        <cfvo type="min"/>
        <cfvo type="percentile" val="50"/>
        <cfvo type="max"/>
        <color rgb="FFF8696B"/>
        <color rgb="FFFFEB84"/>
        <color rgb="FF63BE7B"/>
      </colorScale>
    </cfRule>
  </conditionalFormatting>
  <conditionalFormatting sqref="C42:D49">
    <cfRule type="colorScale" priority="12">
      <colorScale>
        <cfvo type="min"/>
        <cfvo type="percentile" val="50"/>
        <cfvo type="max"/>
        <color rgb="FFF8696B"/>
        <color rgb="FFFFEB84"/>
        <color rgb="FF63BE7B"/>
      </colorScale>
    </cfRule>
  </conditionalFormatting>
  <conditionalFormatting sqref="C57:D60 C52:D54 C22:D25">
    <cfRule type="colorScale" priority="11">
      <colorScale>
        <cfvo type="min"/>
        <cfvo type="percentile" val="50"/>
        <cfvo type="max"/>
        <color rgb="FFF8696B"/>
        <color rgb="FFFFEB84"/>
        <color rgb="FF63BE7B"/>
      </colorScale>
    </cfRule>
  </conditionalFormatting>
  <conditionalFormatting sqref="C57:D60">
    <cfRule type="colorScale" priority="5">
      <colorScale>
        <cfvo type="min"/>
        <cfvo type="percentile" val="50"/>
        <cfvo type="max"/>
        <color rgb="FFF8696B"/>
        <color rgb="FFFFEB84"/>
        <color rgb="FF63BE7B"/>
      </colorScale>
    </cfRule>
  </conditionalFormatting>
  <conditionalFormatting sqref="C63:D76">
    <cfRule type="colorScale" priority="4">
      <colorScale>
        <cfvo type="min"/>
        <cfvo type="percentile" val="50"/>
        <cfvo type="max"/>
        <color rgb="FFF8696B"/>
        <color rgb="FFFFEB84"/>
        <color rgb="FF63BE7B"/>
      </colorScale>
    </cfRule>
  </conditionalFormatting>
  <conditionalFormatting sqref="C79:D82 C32:D39">
    <cfRule type="colorScale" priority="9">
      <colorScale>
        <cfvo type="min"/>
        <cfvo type="percentile" val="50"/>
        <cfvo type="max"/>
        <color rgb="FFF8696B"/>
        <color rgb="FFFFEB84"/>
        <color rgb="FF63BE7B"/>
      </colorScale>
    </cfRule>
  </conditionalFormatting>
  <conditionalFormatting sqref="C79:D82">
    <cfRule type="colorScale" priority="1">
      <colorScale>
        <cfvo type="min"/>
        <cfvo type="percentile" val="50"/>
        <cfvo type="max"/>
        <color rgb="FFF8696B"/>
        <color rgb="FFFFEB84"/>
        <color rgb="FF63BE7B"/>
      </colorScale>
    </cfRule>
  </conditionalFormatting>
  <conditionalFormatting sqref="C85:D89">
    <cfRule type="colorScale" priority="2">
      <colorScale>
        <cfvo type="min"/>
        <cfvo type="percentile" val="50"/>
        <cfvo type="max"/>
        <color rgb="FFF8696B"/>
        <color rgb="FFFFEB84"/>
        <color rgb="FF63BE7B"/>
      </colorScale>
    </cfRule>
  </conditionalFormatting>
  <conditionalFormatting sqref="H18:I18 H28:I28">
    <cfRule type="colorScale" priority="14">
      <colorScale>
        <cfvo type="min"/>
        <cfvo type="percentile" val="50"/>
        <cfvo type="max"/>
        <color rgb="FFF8696B"/>
        <color rgb="FFFFEB84"/>
        <color rgb="FF63BE7B"/>
      </colorScale>
    </cfRule>
  </conditionalFormatting>
  <hyperlinks>
    <hyperlink ref="A1" location="Contents!A1" display="Back to contents page" xr:uid="{ACDBC2DC-73D5-471F-A769-2AC79A0F503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5E8F-D5A6-4E21-8FF1-7DF1E7BC2D2E}">
  <dimension ref="A1:L54"/>
  <sheetViews>
    <sheetView showGridLines="0" workbookViewId="0">
      <selection activeCell="A7" sqref="A7"/>
    </sheetView>
  </sheetViews>
  <sheetFormatPr defaultRowHeight="14.5" x14ac:dyDescent="0.35"/>
  <cols>
    <col min="1" max="1" width="28.453125" customWidth="1"/>
    <col min="2" max="2" width="40.54296875" customWidth="1"/>
    <col min="3" max="3" width="13.7265625" bestFit="1" customWidth="1"/>
    <col min="4" max="4" width="9.54296875" bestFit="1" customWidth="1"/>
  </cols>
  <sheetData>
    <row r="1" spans="1:7" ht="18.5" x14ac:dyDescent="0.35">
      <c r="A1" s="66" t="s">
        <v>302</v>
      </c>
      <c r="B1" s="76"/>
      <c r="C1" s="66"/>
      <c r="D1" s="66"/>
      <c r="E1" s="66"/>
      <c r="F1" s="66"/>
      <c r="G1" s="66"/>
    </row>
    <row r="2" spans="1:7" x14ac:dyDescent="0.35">
      <c r="A2" s="72" t="s">
        <v>343</v>
      </c>
      <c r="B2" s="72"/>
      <c r="C2" s="72"/>
      <c r="D2" s="72"/>
      <c r="E2" s="72"/>
      <c r="F2" s="72"/>
      <c r="G2" s="72"/>
    </row>
    <row r="3" spans="1:7" x14ac:dyDescent="0.35">
      <c r="A3" s="67"/>
      <c r="B3" s="68"/>
      <c r="C3" s="68"/>
      <c r="D3" s="68"/>
      <c r="E3" s="68"/>
      <c r="F3" s="68"/>
      <c r="G3" s="68"/>
    </row>
    <row r="4" spans="1:7" ht="15" thickBot="1" x14ac:dyDescent="0.4">
      <c r="A4" s="69" t="s">
        <v>303</v>
      </c>
      <c r="B4" s="80" t="s">
        <v>304</v>
      </c>
      <c r="C4" s="68"/>
      <c r="D4" s="68"/>
      <c r="E4" s="68"/>
      <c r="F4" s="68"/>
      <c r="G4" s="68"/>
    </row>
    <row r="5" spans="1:7" ht="15" thickTop="1" x14ac:dyDescent="0.35">
      <c r="A5" s="73" t="s">
        <v>305</v>
      </c>
      <c r="B5" s="81" t="s">
        <v>306</v>
      </c>
      <c r="C5" s="68"/>
      <c r="D5" s="68"/>
      <c r="E5" s="68"/>
      <c r="F5" s="68"/>
      <c r="G5" s="68"/>
    </row>
    <row r="6" spans="1:7" x14ac:dyDescent="0.35">
      <c r="A6" s="70" t="s">
        <v>307</v>
      </c>
      <c r="B6" s="82" t="s">
        <v>308</v>
      </c>
      <c r="C6" s="68"/>
      <c r="D6" s="68"/>
      <c r="E6" s="68"/>
      <c r="F6" s="68"/>
      <c r="G6" s="68"/>
    </row>
    <row r="7" spans="1:7" x14ac:dyDescent="0.35">
      <c r="A7" s="70" t="s">
        <v>309</v>
      </c>
      <c r="B7" s="82" t="s">
        <v>310</v>
      </c>
      <c r="C7" s="68"/>
      <c r="D7" s="68"/>
      <c r="E7" s="68"/>
      <c r="F7" s="68"/>
      <c r="G7" s="68"/>
    </row>
    <row r="8" spans="1:7" x14ac:dyDescent="0.35">
      <c r="A8" s="70" t="s">
        <v>311</v>
      </c>
      <c r="B8" s="82" t="s">
        <v>312</v>
      </c>
      <c r="C8" s="68"/>
      <c r="D8" s="68"/>
      <c r="E8" s="68"/>
      <c r="F8" s="68"/>
      <c r="G8" s="68"/>
    </row>
    <row r="9" spans="1:7" x14ac:dyDescent="0.35">
      <c r="A9" s="70" t="s">
        <v>313</v>
      </c>
      <c r="B9" s="82" t="s">
        <v>314</v>
      </c>
      <c r="C9" s="68"/>
      <c r="D9" s="68"/>
      <c r="E9" s="68"/>
      <c r="F9" s="68"/>
      <c r="G9" s="68"/>
    </row>
    <row r="10" spans="1:7" x14ac:dyDescent="0.35">
      <c r="A10" s="70" t="s">
        <v>315</v>
      </c>
      <c r="B10" s="82" t="s">
        <v>316</v>
      </c>
      <c r="C10" s="68"/>
      <c r="D10" s="68"/>
      <c r="E10" s="68"/>
      <c r="F10" s="68"/>
      <c r="G10" s="68"/>
    </row>
    <row r="11" spans="1:7" x14ac:dyDescent="0.35">
      <c r="A11" s="68"/>
      <c r="B11" s="68"/>
      <c r="C11" s="68"/>
      <c r="D11" s="68"/>
      <c r="E11" s="68"/>
      <c r="F11" s="68"/>
      <c r="G11" s="68"/>
    </row>
    <row r="12" spans="1:7" ht="18.5" x14ac:dyDescent="0.35">
      <c r="A12" s="66" t="s">
        <v>317</v>
      </c>
      <c r="B12" s="76"/>
      <c r="C12" s="66"/>
      <c r="D12" s="66"/>
      <c r="E12" s="66"/>
      <c r="F12" s="66"/>
      <c r="G12" s="66"/>
    </row>
    <row r="13" spans="1:7" x14ac:dyDescent="0.35">
      <c r="A13" s="74" t="s">
        <v>318</v>
      </c>
      <c r="B13" s="74"/>
      <c r="C13" s="74"/>
      <c r="D13" s="74"/>
      <c r="E13" s="74"/>
      <c r="F13" s="74"/>
      <c r="G13" s="74"/>
    </row>
    <row r="14" spans="1:7" x14ac:dyDescent="0.35">
      <c r="A14" s="68"/>
      <c r="B14" s="68"/>
      <c r="C14" s="68"/>
      <c r="D14" s="68"/>
      <c r="E14" s="68"/>
      <c r="F14" s="68"/>
      <c r="G14" s="68"/>
    </row>
    <row r="15" spans="1:7" x14ac:dyDescent="0.35">
      <c r="A15" s="75" t="s">
        <v>364</v>
      </c>
      <c r="B15" s="68"/>
      <c r="C15" s="68"/>
      <c r="D15" s="68"/>
      <c r="E15" s="68"/>
      <c r="F15" s="68"/>
      <c r="G15" s="68"/>
    </row>
    <row r="16" spans="1:7" x14ac:dyDescent="0.35">
      <c r="A16" s="68"/>
      <c r="B16" s="68"/>
      <c r="C16" s="68"/>
      <c r="D16" s="68"/>
      <c r="E16" s="68"/>
      <c r="F16" s="68"/>
      <c r="G16" s="68"/>
    </row>
    <row r="17" spans="1:12" ht="15" thickBot="1" x14ac:dyDescent="0.4">
      <c r="A17" s="95" t="s">
        <v>319</v>
      </c>
      <c r="B17" s="107" t="s">
        <v>320</v>
      </c>
      <c r="C17" s="107"/>
      <c r="D17" s="107"/>
      <c r="E17" s="107"/>
      <c r="F17" s="107"/>
      <c r="G17" s="107"/>
      <c r="H17" s="85"/>
      <c r="I17" s="85"/>
      <c r="J17" s="85"/>
      <c r="K17" s="85"/>
      <c r="L17" s="85"/>
    </row>
    <row r="18" spans="1:12" ht="14.5" customHeight="1" x14ac:dyDescent="0.35">
      <c r="A18" s="92" t="s">
        <v>321</v>
      </c>
      <c r="B18" s="93" t="s">
        <v>322</v>
      </c>
      <c r="C18" s="93"/>
      <c r="D18" s="93"/>
      <c r="E18" s="93"/>
      <c r="F18" s="93"/>
      <c r="G18" s="93"/>
      <c r="H18" s="29"/>
      <c r="I18" s="29"/>
      <c r="J18" s="29"/>
      <c r="K18" s="29"/>
      <c r="L18" s="29"/>
    </row>
    <row r="19" spans="1:12" x14ac:dyDescent="0.35">
      <c r="A19" s="71" t="s">
        <v>182</v>
      </c>
      <c r="B19" s="91" t="s">
        <v>323</v>
      </c>
      <c r="C19" s="91"/>
      <c r="D19" s="91"/>
      <c r="E19" s="91"/>
      <c r="F19" s="91"/>
      <c r="G19" s="91"/>
      <c r="H19" s="89"/>
      <c r="I19" s="89"/>
      <c r="J19" s="89"/>
      <c r="K19" s="89"/>
      <c r="L19" s="89"/>
    </row>
    <row r="20" spans="1:12" ht="14.5" customHeight="1" x14ac:dyDescent="0.35">
      <c r="A20" s="71" t="s">
        <v>324</v>
      </c>
      <c r="B20" s="91" t="s">
        <v>325</v>
      </c>
      <c r="C20" s="91"/>
      <c r="D20" s="91"/>
      <c r="E20" s="91"/>
      <c r="F20" s="91"/>
      <c r="G20" s="91"/>
      <c r="H20" s="89"/>
      <c r="I20" s="89"/>
      <c r="J20" s="89"/>
      <c r="K20" s="89"/>
      <c r="L20" s="89"/>
    </row>
    <row r="21" spans="1:12" ht="14.5" customHeight="1" x14ac:dyDescent="0.35">
      <c r="A21" s="71" t="s">
        <v>326</v>
      </c>
      <c r="B21" s="91" t="s">
        <v>327</v>
      </c>
      <c r="C21" s="91"/>
      <c r="D21" s="91"/>
      <c r="E21" s="91"/>
      <c r="F21" s="91"/>
      <c r="G21" s="91"/>
      <c r="H21" s="89"/>
      <c r="I21" s="89"/>
      <c r="J21" s="89"/>
      <c r="K21" s="89"/>
      <c r="L21" s="89"/>
    </row>
    <row r="22" spans="1:12" ht="14.5" customHeight="1" x14ac:dyDescent="0.35">
      <c r="A22" s="71" t="s">
        <v>328</v>
      </c>
      <c r="B22" s="91" t="s">
        <v>329</v>
      </c>
      <c r="C22" s="91"/>
      <c r="D22" s="91"/>
      <c r="E22" s="91"/>
      <c r="F22" s="91"/>
      <c r="G22" s="91"/>
      <c r="H22" s="89"/>
      <c r="I22" s="89"/>
      <c r="J22" s="89"/>
      <c r="K22" s="89"/>
      <c r="L22" s="89"/>
    </row>
    <row r="23" spans="1:12" ht="29.15" customHeight="1" x14ac:dyDescent="0.35">
      <c r="A23" s="71" t="s">
        <v>180</v>
      </c>
      <c r="B23" s="91" t="s">
        <v>330</v>
      </c>
      <c r="C23" s="91"/>
      <c r="D23" s="91"/>
      <c r="E23" s="91"/>
      <c r="F23" s="91"/>
      <c r="G23" s="91"/>
      <c r="H23" s="89"/>
      <c r="I23" s="89"/>
      <c r="J23" s="89"/>
      <c r="K23" s="89"/>
      <c r="L23" s="89"/>
    </row>
    <row r="24" spans="1:12" ht="14.5" customHeight="1" x14ac:dyDescent="0.35">
      <c r="A24" s="71" t="s">
        <v>34</v>
      </c>
      <c r="B24" s="91" t="s">
        <v>331</v>
      </c>
      <c r="C24" s="91"/>
      <c r="D24" s="91"/>
      <c r="E24" s="91"/>
      <c r="F24" s="91"/>
      <c r="G24" s="91"/>
      <c r="H24" s="89"/>
      <c r="I24" s="89"/>
      <c r="J24" s="89"/>
      <c r="K24" s="89"/>
      <c r="L24" s="89"/>
    </row>
    <row r="25" spans="1:12" ht="14.5" customHeight="1" x14ac:dyDescent="0.35">
      <c r="A25" s="71" t="s">
        <v>332</v>
      </c>
      <c r="B25" s="91" t="s">
        <v>333</v>
      </c>
      <c r="C25" s="91"/>
      <c r="D25" s="91"/>
      <c r="E25" s="91"/>
      <c r="F25" s="91"/>
      <c r="G25" s="91"/>
      <c r="H25" s="89"/>
      <c r="I25" s="89"/>
      <c r="J25" s="89"/>
      <c r="K25" s="89"/>
      <c r="L25" s="89"/>
    </row>
    <row r="26" spans="1:12" ht="14.5" customHeight="1" x14ac:dyDescent="0.35">
      <c r="A26" s="71" t="s">
        <v>184</v>
      </c>
      <c r="B26" s="91" t="s">
        <v>334</v>
      </c>
      <c r="C26" s="91"/>
      <c r="D26" s="91"/>
      <c r="E26" s="91"/>
      <c r="F26" s="91"/>
      <c r="G26" s="91"/>
      <c r="H26" s="89"/>
      <c r="I26" s="89"/>
      <c r="J26" s="89"/>
      <c r="K26" s="89"/>
      <c r="L26" s="89"/>
    </row>
    <row r="27" spans="1:12" ht="14.5" customHeight="1" x14ac:dyDescent="0.35">
      <c r="A27" s="92" t="s">
        <v>335</v>
      </c>
      <c r="B27" s="93" t="s">
        <v>336</v>
      </c>
      <c r="C27" s="93"/>
      <c r="D27" s="93"/>
      <c r="E27" s="93"/>
      <c r="F27" s="93"/>
      <c r="G27" s="93"/>
      <c r="H27" s="29"/>
      <c r="I27" s="29"/>
      <c r="J27" s="29"/>
      <c r="K27" s="29"/>
      <c r="L27" s="29"/>
    </row>
    <row r="28" spans="1:12" ht="29.15" customHeight="1" x14ac:dyDescent="0.35">
      <c r="A28" s="92" t="s">
        <v>337</v>
      </c>
      <c r="B28" s="93"/>
      <c r="C28" s="93"/>
      <c r="D28" s="93"/>
      <c r="E28" s="93"/>
      <c r="F28" s="93"/>
      <c r="G28" s="93"/>
      <c r="H28" s="29"/>
      <c r="I28" s="29"/>
      <c r="J28" s="29"/>
      <c r="K28" s="29"/>
      <c r="L28" s="29"/>
    </row>
    <row r="29" spans="1:12" x14ac:dyDescent="0.35">
      <c r="A29" s="92" t="s">
        <v>186</v>
      </c>
      <c r="B29" s="93"/>
      <c r="C29" s="93"/>
      <c r="D29" s="93"/>
      <c r="E29" s="93"/>
      <c r="F29" s="93"/>
      <c r="G29" s="93"/>
      <c r="H29" s="29"/>
      <c r="I29" s="29"/>
      <c r="J29" s="29"/>
      <c r="K29" s="29"/>
      <c r="L29" s="29"/>
    </row>
    <row r="30" spans="1:12" x14ac:dyDescent="0.35">
      <c r="A30" s="92" t="s">
        <v>179</v>
      </c>
      <c r="B30" s="93"/>
      <c r="C30" s="93"/>
      <c r="D30" s="93"/>
      <c r="E30" s="93"/>
      <c r="F30" s="93"/>
      <c r="G30" s="93"/>
      <c r="H30" s="29"/>
      <c r="I30" s="29"/>
      <c r="J30" s="29"/>
      <c r="K30" s="29"/>
      <c r="L30" s="29"/>
    </row>
    <row r="31" spans="1:12" ht="14.5" customHeight="1" x14ac:dyDescent="0.35">
      <c r="A31" s="92" t="s">
        <v>187</v>
      </c>
      <c r="B31" s="93" t="s">
        <v>338</v>
      </c>
      <c r="C31" s="93"/>
      <c r="D31" s="93"/>
      <c r="E31" s="93"/>
      <c r="F31" s="93"/>
      <c r="G31" s="93"/>
      <c r="H31" s="29"/>
      <c r="I31" s="29"/>
      <c r="J31" s="29"/>
      <c r="K31" s="29"/>
      <c r="L31" s="29"/>
    </row>
    <row r="32" spans="1:12" x14ac:dyDescent="0.35">
      <c r="A32" s="92" t="s">
        <v>185</v>
      </c>
      <c r="B32" s="93"/>
      <c r="C32" s="93"/>
      <c r="D32" s="93"/>
      <c r="E32" s="93"/>
      <c r="F32" s="93"/>
      <c r="G32" s="93"/>
      <c r="H32" s="29"/>
      <c r="I32" s="29"/>
      <c r="J32" s="29"/>
      <c r="K32" s="29"/>
      <c r="L32" s="29"/>
    </row>
    <row r="33" spans="1:12" ht="14.5" customHeight="1" x14ac:dyDescent="0.35">
      <c r="A33" s="92" t="s">
        <v>339</v>
      </c>
      <c r="B33" s="93" t="s">
        <v>340</v>
      </c>
      <c r="C33" s="93"/>
      <c r="D33" s="93"/>
      <c r="E33" s="93"/>
      <c r="F33" s="93"/>
      <c r="G33" s="93"/>
      <c r="H33" s="29"/>
      <c r="I33" s="29"/>
      <c r="J33" s="29"/>
      <c r="K33" s="29"/>
      <c r="L33" s="29"/>
    </row>
    <row r="34" spans="1:12" x14ac:dyDescent="0.35">
      <c r="A34" s="92" t="s">
        <v>341</v>
      </c>
      <c r="B34" s="93" t="s">
        <v>342</v>
      </c>
      <c r="C34" s="93"/>
      <c r="D34" s="93"/>
      <c r="E34" s="93"/>
      <c r="F34" s="93"/>
      <c r="G34" s="93"/>
      <c r="H34" s="29"/>
      <c r="I34" s="29"/>
      <c r="J34" s="29"/>
      <c r="K34" s="29"/>
      <c r="L34" s="29"/>
    </row>
    <row r="35" spans="1:12" x14ac:dyDescent="0.35">
      <c r="A35" s="92" t="s">
        <v>183</v>
      </c>
      <c r="B35" s="94"/>
      <c r="C35" s="94"/>
      <c r="D35" s="94"/>
      <c r="E35" s="94"/>
      <c r="F35" s="94"/>
      <c r="G35" s="94"/>
      <c r="H35" s="29"/>
      <c r="I35" s="29"/>
      <c r="J35" s="29"/>
      <c r="K35" s="29"/>
      <c r="L35" s="29"/>
    </row>
    <row r="36" spans="1:12" x14ac:dyDescent="0.35">
      <c r="A36" s="77"/>
      <c r="B36" s="78"/>
      <c r="C36" s="78"/>
      <c r="D36" s="78"/>
      <c r="E36" s="78"/>
      <c r="F36" s="78"/>
      <c r="G36" s="78"/>
    </row>
    <row r="38" spans="1:12" ht="18.5" x14ac:dyDescent="0.35">
      <c r="A38" s="76" t="s">
        <v>344</v>
      </c>
    </row>
    <row r="39" spans="1:12" x14ac:dyDescent="0.35">
      <c r="A39" s="79" t="s">
        <v>345</v>
      </c>
    </row>
    <row r="40" spans="1:12" x14ac:dyDescent="0.35">
      <c r="A40" s="7" t="s">
        <v>347</v>
      </c>
    </row>
    <row r="41" spans="1:12" x14ac:dyDescent="0.35">
      <c r="A41" s="7" t="s">
        <v>346</v>
      </c>
    </row>
    <row r="43" spans="1:12" ht="15" thickBot="1" x14ac:dyDescent="0.4">
      <c r="A43" s="69" t="s">
        <v>350</v>
      </c>
      <c r="B43" s="80" t="s">
        <v>348</v>
      </c>
      <c r="C43" s="80" t="s">
        <v>106</v>
      </c>
      <c r="D43" s="83"/>
    </row>
    <row r="44" spans="1:12" ht="44" thickTop="1" x14ac:dyDescent="0.35">
      <c r="A44" s="96" t="s">
        <v>246</v>
      </c>
      <c r="B44" s="86" t="s">
        <v>352</v>
      </c>
      <c r="C44" s="87">
        <v>21</v>
      </c>
    </row>
    <row r="45" spans="1:12" ht="43.5" x14ac:dyDescent="0.35">
      <c r="A45" s="97" t="s">
        <v>349</v>
      </c>
      <c r="B45" s="88" t="s">
        <v>353</v>
      </c>
      <c r="C45" s="89">
        <v>164</v>
      </c>
    </row>
    <row r="46" spans="1:12" x14ac:dyDescent="0.35">
      <c r="A46" s="97" t="s">
        <v>359</v>
      </c>
      <c r="B46" s="88" t="s">
        <v>354</v>
      </c>
      <c r="C46" s="89">
        <v>36</v>
      </c>
    </row>
    <row r="47" spans="1:12" ht="58" x14ac:dyDescent="0.35">
      <c r="A47" s="97" t="s">
        <v>79</v>
      </c>
      <c r="B47" s="88" t="s">
        <v>355</v>
      </c>
      <c r="C47" s="89">
        <v>33</v>
      </c>
    </row>
    <row r="48" spans="1:12" ht="29" x14ac:dyDescent="0.35">
      <c r="A48" s="97" t="s">
        <v>360</v>
      </c>
      <c r="B48" s="88" t="s">
        <v>356</v>
      </c>
      <c r="C48" s="89">
        <v>63</v>
      </c>
    </row>
    <row r="49" spans="1:3" ht="72.5" x14ac:dyDescent="0.35">
      <c r="A49" s="98" t="s">
        <v>351</v>
      </c>
      <c r="B49" s="84" t="s">
        <v>358</v>
      </c>
      <c r="C49" s="29">
        <v>10</v>
      </c>
    </row>
    <row r="50" spans="1:3" ht="29" x14ac:dyDescent="0.35">
      <c r="A50" s="97" t="s">
        <v>357</v>
      </c>
      <c r="B50" s="90" t="s">
        <v>362</v>
      </c>
      <c r="C50" s="89"/>
    </row>
    <row r="51" spans="1:3" x14ac:dyDescent="0.35">
      <c r="A51" s="97" t="s">
        <v>361</v>
      </c>
      <c r="B51" s="90" t="s">
        <v>363</v>
      </c>
      <c r="C51" s="89"/>
    </row>
    <row r="53" spans="1:3" x14ac:dyDescent="0.35">
      <c r="A53" s="82" t="s">
        <v>365</v>
      </c>
    </row>
    <row r="54" spans="1:3" x14ac:dyDescent="0.35">
      <c r="A54" s="7" t="s">
        <v>366</v>
      </c>
    </row>
  </sheetData>
  <sheetProtection algorithmName="SHA-512" hashValue="B3qICcL3uRCV5jGS5YmhLkX0vDBwhTEx24RnwGH0HQ3VPlKIgz4NawVNw06hfW/VgZuJzQj9pDEwTwaWb+fYcg==" saltValue="gYPB/pPaT7IMm1BE9146XA==" spinCount="100000" sheet="1" objects="1" scenarios="1"/>
  <mergeCells count="1">
    <mergeCell ref="B17:G17"/>
  </mergeCells>
  <hyperlinks>
    <hyperlink ref="A40" r:id="rId1" xr:uid="{244044C5-B0F2-4FD5-8FC0-FAE54F0999CB}"/>
    <hyperlink ref="A54" r:id="rId2" xr:uid="{FEF09FDA-AF39-4EFD-BCCE-907F237780D3}"/>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90236-1EC3-4583-B01F-D13FBD971501}">
  <dimension ref="A1:I90"/>
  <sheetViews>
    <sheetView zoomScaleNormal="100" workbookViewId="0"/>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292</v>
      </c>
    </row>
    <row r="3" spans="1:4" x14ac:dyDescent="0.35">
      <c r="A3" s="53" t="s">
        <v>370</v>
      </c>
    </row>
    <row r="5" spans="1:4" ht="29" x14ac:dyDescent="0.35">
      <c r="A5" s="34" t="s">
        <v>299</v>
      </c>
      <c r="B5" s="23" t="s">
        <v>234</v>
      </c>
      <c r="C5" s="24" t="s">
        <v>235</v>
      </c>
    </row>
    <row r="6" spans="1:4" x14ac:dyDescent="0.35">
      <c r="A6" s="25" t="s">
        <v>237</v>
      </c>
      <c r="B6">
        <v>280</v>
      </c>
      <c r="C6" s="58">
        <f t="shared" ref="C6:C10" si="0">B6/331</f>
        <v>0.84592145015105735</v>
      </c>
    </row>
    <row r="7" spans="1:4" x14ac:dyDescent="0.35">
      <c r="A7" s="25" t="s">
        <v>247</v>
      </c>
      <c r="B7">
        <v>157</v>
      </c>
      <c r="C7" s="59">
        <f t="shared" si="0"/>
        <v>0.47432024169184289</v>
      </c>
    </row>
    <row r="8" spans="1:4" x14ac:dyDescent="0.35">
      <c r="A8" s="45" t="s">
        <v>246</v>
      </c>
      <c r="B8" s="46">
        <v>138</v>
      </c>
      <c r="C8" s="62">
        <f t="shared" si="0"/>
        <v>0.41691842900302117</v>
      </c>
    </row>
    <row r="9" spans="1:4" x14ac:dyDescent="0.35">
      <c r="A9" s="25" t="s">
        <v>298</v>
      </c>
      <c r="B9">
        <v>145</v>
      </c>
      <c r="C9" s="59">
        <f t="shared" si="0"/>
        <v>0.4380664652567976</v>
      </c>
    </row>
    <row r="10" spans="1:4" x14ac:dyDescent="0.35">
      <c r="A10" s="28" t="s">
        <v>86</v>
      </c>
      <c r="B10" s="29">
        <v>72</v>
      </c>
      <c r="C10" s="60">
        <f t="shared" si="0"/>
        <v>0.2175226586102719</v>
      </c>
    </row>
    <row r="13" spans="1:4" ht="29" x14ac:dyDescent="0.35">
      <c r="A13" s="22" t="s">
        <v>19</v>
      </c>
      <c r="B13" s="23" t="s">
        <v>20</v>
      </c>
      <c r="C13" s="23" t="s">
        <v>238</v>
      </c>
      <c r="D13" s="24" t="s">
        <v>213</v>
      </c>
    </row>
    <row r="14" spans="1:4" x14ac:dyDescent="0.35">
      <c r="A14" s="25" t="s">
        <v>22</v>
      </c>
      <c r="B14" s="49">
        <v>2</v>
      </c>
      <c r="C14" s="99">
        <f>B14/138</f>
        <v>1.4492753623188406E-2</v>
      </c>
      <c r="D14" s="100">
        <v>1.2084592145015106E-2</v>
      </c>
    </row>
    <row r="15" spans="1:4" x14ac:dyDescent="0.35">
      <c r="A15" s="25" t="s">
        <v>23</v>
      </c>
      <c r="B15" s="49">
        <v>12</v>
      </c>
      <c r="C15" s="99">
        <f t="shared" ref="C15:C19" si="1">B15/138</f>
        <v>8.6956521739130432E-2</v>
      </c>
      <c r="D15" s="100">
        <v>0.11178247734138973</v>
      </c>
    </row>
    <row r="16" spans="1:4" x14ac:dyDescent="0.35">
      <c r="A16" s="25" t="s">
        <v>239</v>
      </c>
      <c r="B16" s="49">
        <v>64</v>
      </c>
      <c r="C16" s="99">
        <f t="shared" si="1"/>
        <v>0.46376811594202899</v>
      </c>
      <c r="D16" s="100">
        <v>0.54380664652567978</v>
      </c>
    </row>
    <row r="17" spans="1:9" x14ac:dyDescent="0.35">
      <c r="A17" s="25" t="s">
        <v>25</v>
      </c>
      <c r="B17" s="49">
        <v>44</v>
      </c>
      <c r="C17" s="99">
        <f t="shared" si="1"/>
        <v>0.3188405797101449</v>
      </c>
      <c r="D17" s="100">
        <v>0.25981873111782477</v>
      </c>
    </row>
    <row r="18" spans="1:9" x14ac:dyDescent="0.35">
      <c r="A18" s="25" t="s">
        <v>26</v>
      </c>
      <c r="B18" s="49">
        <v>15</v>
      </c>
      <c r="C18" s="99">
        <f t="shared" si="1"/>
        <v>0.10869565217391304</v>
      </c>
      <c r="D18" s="100">
        <v>6.3444108761329304E-2</v>
      </c>
      <c r="H18" s="39"/>
      <c r="I18" s="39"/>
    </row>
    <row r="19" spans="1:9" x14ac:dyDescent="0.35">
      <c r="A19" s="28" t="s">
        <v>27</v>
      </c>
      <c r="B19" s="101">
        <v>1</v>
      </c>
      <c r="C19" s="102">
        <f t="shared" si="1"/>
        <v>7.246376811594203E-3</v>
      </c>
      <c r="D19" s="103">
        <v>9.0634441087613302E-3</v>
      </c>
    </row>
    <row r="20" spans="1:9" x14ac:dyDescent="0.35">
      <c r="B20" s="49"/>
      <c r="C20" s="49"/>
      <c r="D20" s="49"/>
    </row>
    <row r="21" spans="1:9" ht="29" x14ac:dyDescent="0.35">
      <c r="A21" s="34" t="s">
        <v>115</v>
      </c>
      <c r="B21" s="23" t="s">
        <v>20</v>
      </c>
      <c r="C21" s="23" t="s">
        <v>238</v>
      </c>
      <c r="D21" s="24" t="s">
        <v>213</v>
      </c>
    </row>
    <row r="22" spans="1:9" x14ac:dyDescent="0.35">
      <c r="A22" s="25" t="s">
        <v>116</v>
      </c>
      <c r="B22" s="49">
        <v>14</v>
      </c>
      <c r="C22" s="99">
        <f>B22/138</f>
        <v>0.10144927536231885</v>
      </c>
      <c r="D22" s="100">
        <v>8.1081081081081086E-2</v>
      </c>
    </row>
    <row r="23" spans="1:9" x14ac:dyDescent="0.35">
      <c r="A23" s="25" t="s">
        <v>117</v>
      </c>
      <c r="B23" s="49">
        <v>16</v>
      </c>
      <c r="C23" s="99">
        <f t="shared" ref="C23:C25" si="2">B23/138</f>
        <v>0.11594202898550725</v>
      </c>
      <c r="D23" s="100">
        <v>9.0090090090090086E-2</v>
      </c>
    </row>
    <row r="24" spans="1:9" x14ac:dyDescent="0.35">
      <c r="A24" s="25" t="s">
        <v>118</v>
      </c>
      <c r="B24" s="49">
        <v>51</v>
      </c>
      <c r="C24" s="99">
        <f t="shared" si="2"/>
        <v>0.36956521739130432</v>
      </c>
      <c r="D24" s="100">
        <v>0.38438438438438438</v>
      </c>
    </row>
    <row r="25" spans="1:9" x14ac:dyDescent="0.35">
      <c r="A25" s="28" t="s">
        <v>119</v>
      </c>
      <c r="B25" s="101">
        <v>57</v>
      </c>
      <c r="C25" s="102">
        <f t="shared" si="2"/>
        <v>0.41304347826086957</v>
      </c>
      <c r="D25" s="103">
        <v>0.44144144144144143</v>
      </c>
    </row>
    <row r="26" spans="1:9" x14ac:dyDescent="0.35">
      <c r="B26" s="49"/>
      <c r="C26" s="49"/>
      <c r="D26" s="49"/>
    </row>
    <row r="27" spans="1:9" ht="43.5" x14ac:dyDescent="0.35">
      <c r="A27" s="34" t="s">
        <v>145</v>
      </c>
      <c r="B27" s="23" t="s">
        <v>20</v>
      </c>
      <c r="C27" s="23" t="s">
        <v>238</v>
      </c>
      <c r="D27" s="24" t="s">
        <v>213</v>
      </c>
    </row>
    <row r="28" spans="1:9" x14ac:dyDescent="0.35">
      <c r="A28" s="25" t="s">
        <v>143</v>
      </c>
      <c r="B28" s="49">
        <v>35</v>
      </c>
      <c r="C28" s="99">
        <f>B28/138</f>
        <v>0.25362318840579712</v>
      </c>
      <c r="D28" s="100">
        <v>0.26586102719033233</v>
      </c>
      <c r="H28" s="39"/>
      <c r="I28" s="39"/>
    </row>
    <row r="29" spans="1:9" x14ac:dyDescent="0.35">
      <c r="A29" s="28" t="s">
        <v>144</v>
      </c>
      <c r="B29" s="101">
        <v>103</v>
      </c>
      <c r="C29" s="102">
        <f>B29/138</f>
        <v>0.74637681159420288</v>
      </c>
      <c r="D29" s="103">
        <v>0.73413897280966767</v>
      </c>
    </row>
    <row r="30" spans="1:9" x14ac:dyDescent="0.35">
      <c r="B30" s="49"/>
      <c r="C30" s="49"/>
      <c r="D30" s="49"/>
    </row>
    <row r="31" spans="1:9" ht="29" x14ac:dyDescent="0.35">
      <c r="A31" s="34" t="s">
        <v>105</v>
      </c>
      <c r="B31" s="23" t="s">
        <v>20</v>
      </c>
      <c r="C31" s="23" t="s">
        <v>238</v>
      </c>
      <c r="D31" s="24" t="s">
        <v>213</v>
      </c>
    </row>
    <row r="32" spans="1:9" x14ac:dyDescent="0.35">
      <c r="A32" s="25" t="s">
        <v>107</v>
      </c>
      <c r="B32" s="49">
        <v>12</v>
      </c>
      <c r="C32" s="99">
        <f>B32/138</f>
        <v>8.6956521739130432E-2</v>
      </c>
      <c r="D32" s="100">
        <v>6.3444108761329304E-2</v>
      </c>
    </row>
    <row r="33" spans="1:4" x14ac:dyDescent="0.35">
      <c r="A33" s="25" t="s">
        <v>108</v>
      </c>
      <c r="B33" s="49">
        <v>5</v>
      </c>
      <c r="C33" s="99">
        <f t="shared" ref="C33:C39" si="3">B33/138</f>
        <v>3.6231884057971016E-2</v>
      </c>
      <c r="D33" s="100">
        <v>3.3232628398791542E-2</v>
      </c>
    </row>
    <row r="34" spans="1:4" x14ac:dyDescent="0.35">
      <c r="A34" s="25" t="s">
        <v>109</v>
      </c>
      <c r="B34" s="49">
        <v>8</v>
      </c>
      <c r="C34" s="99">
        <f t="shared" si="3"/>
        <v>5.7971014492753624E-2</v>
      </c>
      <c r="D34" s="100">
        <v>3.9274924471299093E-2</v>
      </c>
    </row>
    <row r="35" spans="1:4" x14ac:dyDescent="0.35">
      <c r="A35" s="25" t="s">
        <v>110</v>
      </c>
      <c r="B35" s="49">
        <v>13</v>
      </c>
      <c r="C35" s="99">
        <f t="shared" si="3"/>
        <v>9.420289855072464E-2</v>
      </c>
      <c r="D35" s="100">
        <v>0.11480362537764351</v>
      </c>
    </row>
    <row r="36" spans="1:4" x14ac:dyDescent="0.35">
      <c r="A36" s="25" t="s">
        <v>111</v>
      </c>
      <c r="B36" s="49">
        <v>25</v>
      </c>
      <c r="C36" s="99">
        <f t="shared" si="3"/>
        <v>0.18115942028985507</v>
      </c>
      <c r="D36" s="100">
        <v>0.18731117824773413</v>
      </c>
    </row>
    <row r="37" spans="1:4" x14ac:dyDescent="0.35">
      <c r="A37" s="25" t="s">
        <v>112</v>
      </c>
      <c r="B37" s="49">
        <v>11</v>
      </c>
      <c r="C37" s="99">
        <f t="shared" si="3"/>
        <v>7.9710144927536225E-2</v>
      </c>
      <c r="D37" s="100">
        <v>0.10574018126888217</v>
      </c>
    </row>
    <row r="38" spans="1:4" x14ac:dyDescent="0.35">
      <c r="A38" s="25" t="s">
        <v>113</v>
      </c>
      <c r="B38" s="49">
        <v>53</v>
      </c>
      <c r="C38" s="99">
        <f t="shared" si="3"/>
        <v>0.38405797101449274</v>
      </c>
      <c r="D38" s="100">
        <v>0.39577039274924469</v>
      </c>
    </row>
    <row r="39" spans="1:4" x14ac:dyDescent="0.35">
      <c r="A39" s="28" t="s">
        <v>114</v>
      </c>
      <c r="B39" s="101">
        <v>10</v>
      </c>
      <c r="C39" s="102">
        <f t="shared" si="3"/>
        <v>7.2463768115942032E-2</v>
      </c>
      <c r="D39" s="103">
        <v>6.0422960725075532E-2</v>
      </c>
    </row>
    <row r="40" spans="1:4" x14ac:dyDescent="0.35">
      <c r="B40" s="49"/>
      <c r="C40" s="49"/>
      <c r="D40" s="49"/>
    </row>
    <row r="41" spans="1:4" ht="29" x14ac:dyDescent="0.35">
      <c r="A41" s="34" t="s">
        <v>154</v>
      </c>
      <c r="B41" s="23" t="s">
        <v>20</v>
      </c>
      <c r="C41" s="23" t="s">
        <v>238</v>
      </c>
      <c r="D41" s="24" t="s">
        <v>213</v>
      </c>
    </row>
    <row r="42" spans="1:4" x14ac:dyDescent="0.35">
      <c r="A42" s="25" t="s">
        <v>155</v>
      </c>
      <c r="B42" s="49">
        <v>96</v>
      </c>
      <c r="C42" s="99">
        <f t="shared" ref="C42:C49" si="4">B42/138</f>
        <v>0.69565217391304346</v>
      </c>
      <c r="D42" s="100">
        <v>0.66767371601208458</v>
      </c>
    </row>
    <row r="43" spans="1:4" x14ac:dyDescent="0.35">
      <c r="A43" s="25" t="s">
        <v>156</v>
      </c>
      <c r="B43" s="49">
        <v>35</v>
      </c>
      <c r="C43" s="99">
        <f t="shared" si="4"/>
        <v>0.25362318840579712</v>
      </c>
      <c r="D43" s="100">
        <v>0.25377643504531722</v>
      </c>
    </row>
    <row r="44" spans="1:4" x14ac:dyDescent="0.35">
      <c r="A44" s="25" t="s">
        <v>158</v>
      </c>
      <c r="B44" s="49">
        <v>31</v>
      </c>
      <c r="C44" s="99">
        <f t="shared" si="4"/>
        <v>0.22463768115942029</v>
      </c>
      <c r="D44" s="100">
        <v>0.14501510574018128</v>
      </c>
    </row>
    <row r="45" spans="1:4" x14ac:dyDescent="0.35">
      <c r="A45" s="25" t="s">
        <v>157</v>
      </c>
      <c r="B45" s="49">
        <v>23</v>
      </c>
      <c r="C45" s="99">
        <f t="shared" si="4"/>
        <v>0.16666666666666666</v>
      </c>
      <c r="D45" s="100">
        <v>0.15105740181268881</v>
      </c>
    </row>
    <row r="46" spans="1:4" x14ac:dyDescent="0.35">
      <c r="A46" s="25" t="s">
        <v>159</v>
      </c>
      <c r="B46" s="49">
        <v>15</v>
      </c>
      <c r="C46" s="99">
        <f t="shared" si="4"/>
        <v>0.10869565217391304</v>
      </c>
      <c r="D46" s="100">
        <v>0.12688821752265861</v>
      </c>
    </row>
    <row r="47" spans="1:4" x14ac:dyDescent="0.35">
      <c r="A47" s="25" t="s">
        <v>160</v>
      </c>
      <c r="B47" s="49">
        <v>15</v>
      </c>
      <c r="C47" s="99">
        <f t="shared" si="4"/>
        <v>0.10869565217391304</v>
      </c>
      <c r="D47" s="100">
        <v>0.10574018126888217</v>
      </c>
    </row>
    <row r="48" spans="1:4" x14ac:dyDescent="0.35">
      <c r="A48" s="25" t="s">
        <v>161</v>
      </c>
      <c r="B48" s="49">
        <v>8</v>
      </c>
      <c r="C48" s="99">
        <f t="shared" si="4"/>
        <v>5.7971014492753624E-2</v>
      </c>
      <c r="D48" s="100">
        <v>7.8549848942598186E-2</v>
      </c>
    </row>
    <row r="49" spans="1:4" x14ac:dyDescent="0.35">
      <c r="A49" s="28" t="s">
        <v>162</v>
      </c>
      <c r="B49" s="101">
        <v>2</v>
      </c>
      <c r="C49" s="102">
        <f t="shared" si="4"/>
        <v>1.4492753623188406E-2</v>
      </c>
      <c r="D49" s="103">
        <v>1.2084592145015106E-2</v>
      </c>
    </row>
    <row r="50" spans="1:4" x14ac:dyDescent="0.35">
      <c r="B50" s="49"/>
      <c r="C50" s="49"/>
      <c r="D50" s="49"/>
    </row>
    <row r="51" spans="1:4" ht="43.5" x14ac:dyDescent="0.35">
      <c r="A51" s="34" t="s">
        <v>146</v>
      </c>
      <c r="B51" s="23" t="s">
        <v>20</v>
      </c>
      <c r="C51" s="23" t="s">
        <v>238</v>
      </c>
      <c r="D51" s="24" t="s">
        <v>213</v>
      </c>
    </row>
    <row r="52" spans="1:4" x14ac:dyDescent="0.35">
      <c r="A52" s="25" t="s">
        <v>147</v>
      </c>
      <c r="B52" s="49">
        <v>117</v>
      </c>
      <c r="C52" s="99">
        <f>B52/138</f>
        <v>0.84782608695652173</v>
      </c>
      <c r="D52" s="100">
        <v>0.83383685800604235</v>
      </c>
    </row>
    <row r="53" spans="1:4" x14ac:dyDescent="0.35">
      <c r="A53" s="25" t="s">
        <v>148</v>
      </c>
      <c r="B53" s="49">
        <v>54</v>
      </c>
      <c r="C53" s="99">
        <f>B53/138</f>
        <v>0.39130434782608697</v>
      </c>
      <c r="D53" s="100">
        <v>0.38368580060422963</v>
      </c>
    </row>
    <row r="54" spans="1:4" x14ac:dyDescent="0.35">
      <c r="A54" s="28" t="s">
        <v>89</v>
      </c>
      <c r="B54" s="101">
        <v>14</v>
      </c>
      <c r="C54" s="102">
        <f>B54/138</f>
        <v>0.10144927536231885</v>
      </c>
      <c r="D54" s="103">
        <v>0.12084592145015106</v>
      </c>
    </row>
    <row r="55" spans="1:4" x14ac:dyDescent="0.35">
      <c r="B55" s="49"/>
      <c r="C55" s="49"/>
      <c r="D55" s="49"/>
    </row>
    <row r="56" spans="1:4" ht="87" x14ac:dyDescent="0.35">
      <c r="A56" s="34" t="s">
        <v>149</v>
      </c>
      <c r="B56" s="23" t="s">
        <v>20</v>
      </c>
      <c r="C56" s="23" t="s">
        <v>238</v>
      </c>
      <c r="D56" s="24" t="s">
        <v>213</v>
      </c>
    </row>
    <row r="57" spans="1:4" x14ac:dyDescent="0.35">
      <c r="A57" s="25" t="s">
        <v>150</v>
      </c>
      <c r="B57" s="49">
        <v>60</v>
      </c>
      <c r="C57" s="99">
        <f>B57/138</f>
        <v>0.43478260869565216</v>
      </c>
      <c r="D57" s="100">
        <v>0.45015105740181272</v>
      </c>
    </row>
    <row r="58" spans="1:4" x14ac:dyDescent="0.35">
      <c r="A58" s="25" t="s">
        <v>152</v>
      </c>
      <c r="B58" s="49">
        <v>76</v>
      </c>
      <c r="C58" s="99">
        <f t="shared" ref="C58:C60" si="5">B58/138</f>
        <v>0.55072463768115942</v>
      </c>
      <c r="D58" s="100">
        <v>0.52567975830815705</v>
      </c>
    </row>
    <row r="59" spans="1:4" x14ac:dyDescent="0.35">
      <c r="A59" s="25" t="s">
        <v>151</v>
      </c>
      <c r="B59" s="49">
        <v>82</v>
      </c>
      <c r="C59" s="99">
        <f t="shared" si="5"/>
        <v>0.59420289855072461</v>
      </c>
      <c r="D59" s="100">
        <v>0.58308157099697888</v>
      </c>
    </row>
    <row r="60" spans="1:4" x14ac:dyDescent="0.35">
      <c r="A60" s="28" t="s">
        <v>153</v>
      </c>
      <c r="B60" s="101">
        <v>51</v>
      </c>
      <c r="C60" s="102">
        <f t="shared" si="5"/>
        <v>0.36956521739130432</v>
      </c>
      <c r="D60" s="103">
        <v>0.38368580060422963</v>
      </c>
    </row>
    <row r="61" spans="1:4" x14ac:dyDescent="0.35">
      <c r="B61" s="49"/>
      <c r="C61" s="49"/>
      <c r="D61" s="49"/>
    </row>
    <row r="62" spans="1:4" ht="43.5" x14ac:dyDescent="0.35">
      <c r="A62" s="34" t="s">
        <v>163</v>
      </c>
      <c r="B62" s="23" t="s">
        <v>20</v>
      </c>
      <c r="C62" s="23" t="s">
        <v>238</v>
      </c>
      <c r="D62" s="24" t="s">
        <v>213</v>
      </c>
    </row>
    <row r="63" spans="1:4" x14ac:dyDescent="0.35">
      <c r="A63" s="25" t="s">
        <v>164</v>
      </c>
      <c r="B63" s="49">
        <v>62</v>
      </c>
      <c r="C63" s="99">
        <f>B63/138</f>
        <v>0.44927536231884058</v>
      </c>
      <c r="D63" s="100">
        <v>0.39274924471299094</v>
      </c>
    </row>
    <row r="64" spans="1:4" x14ac:dyDescent="0.35">
      <c r="A64" s="25" t="s">
        <v>165</v>
      </c>
      <c r="B64" s="49">
        <v>58</v>
      </c>
      <c r="C64" s="99">
        <f t="shared" ref="C64:C76" si="6">B64/138</f>
        <v>0.42028985507246375</v>
      </c>
      <c r="D64" s="100">
        <v>0.38670694864048338</v>
      </c>
    </row>
    <row r="65" spans="1:4" x14ac:dyDescent="0.35">
      <c r="A65" s="25" t="s">
        <v>166</v>
      </c>
      <c r="B65" s="49">
        <v>30</v>
      </c>
      <c r="C65" s="99">
        <f t="shared" si="6"/>
        <v>0.21739130434782608</v>
      </c>
      <c r="D65" s="100">
        <v>0.23262839879154079</v>
      </c>
    </row>
    <row r="66" spans="1:4" x14ac:dyDescent="0.35">
      <c r="A66" s="25" t="s">
        <v>167</v>
      </c>
      <c r="B66" s="49">
        <v>34</v>
      </c>
      <c r="C66" s="99">
        <f t="shared" si="6"/>
        <v>0.24637681159420291</v>
      </c>
      <c r="D66" s="100">
        <v>0.22658610271903323</v>
      </c>
    </row>
    <row r="67" spans="1:4" x14ac:dyDescent="0.35">
      <c r="A67" s="25" t="s">
        <v>168</v>
      </c>
      <c r="B67" s="49">
        <v>29</v>
      </c>
      <c r="C67" s="99">
        <f t="shared" si="6"/>
        <v>0.21014492753623187</v>
      </c>
      <c r="D67" s="100">
        <v>0.2175226586102719</v>
      </c>
    </row>
    <row r="68" spans="1:4" x14ac:dyDescent="0.35">
      <c r="A68" s="25" t="s">
        <v>169</v>
      </c>
      <c r="B68" s="49">
        <v>32</v>
      </c>
      <c r="C68" s="99">
        <f t="shared" si="6"/>
        <v>0.2318840579710145</v>
      </c>
      <c r="D68" s="100">
        <v>0.19637462235649547</v>
      </c>
    </row>
    <row r="69" spans="1:4" x14ac:dyDescent="0.35">
      <c r="A69" s="25" t="s">
        <v>170</v>
      </c>
      <c r="B69" s="49">
        <v>27</v>
      </c>
      <c r="C69" s="99">
        <f t="shared" si="6"/>
        <v>0.19565217391304349</v>
      </c>
      <c r="D69" s="100">
        <v>0.16314199395770393</v>
      </c>
    </row>
    <row r="70" spans="1:4" x14ac:dyDescent="0.35">
      <c r="A70" s="25" t="s">
        <v>171</v>
      </c>
      <c r="B70" s="49">
        <v>22</v>
      </c>
      <c r="C70" s="99">
        <f t="shared" si="6"/>
        <v>0.15942028985507245</v>
      </c>
      <c r="D70" s="100">
        <v>0.15105740181268881</v>
      </c>
    </row>
    <row r="71" spans="1:4" x14ac:dyDescent="0.35">
      <c r="A71" s="25" t="s">
        <v>172</v>
      </c>
      <c r="B71" s="49">
        <v>8</v>
      </c>
      <c r="C71" s="99">
        <f t="shared" si="6"/>
        <v>5.7971014492753624E-2</v>
      </c>
      <c r="D71" s="100">
        <v>5.7401812688821753E-2</v>
      </c>
    </row>
    <row r="72" spans="1:4" x14ac:dyDescent="0.35">
      <c r="A72" s="25" t="s">
        <v>173</v>
      </c>
      <c r="B72" s="49">
        <v>3</v>
      </c>
      <c r="C72" s="99">
        <f t="shared" si="6"/>
        <v>2.1739130434782608E-2</v>
      </c>
      <c r="D72" s="100">
        <v>5.1359516616314202E-2</v>
      </c>
    </row>
    <row r="73" spans="1:4" x14ac:dyDescent="0.35">
      <c r="A73" s="25" t="s">
        <v>174</v>
      </c>
      <c r="B73" s="49">
        <v>2</v>
      </c>
      <c r="C73" s="99">
        <f t="shared" si="6"/>
        <v>1.4492753623188406E-2</v>
      </c>
      <c r="D73" s="100">
        <v>2.4169184290030201E-2</v>
      </c>
    </row>
    <row r="74" spans="1:4" x14ac:dyDescent="0.35">
      <c r="A74" s="25" t="s">
        <v>175</v>
      </c>
      <c r="B74" s="49">
        <v>3</v>
      </c>
      <c r="C74" s="99">
        <f t="shared" si="6"/>
        <v>2.1739130434782608E-2</v>
      </c>
      <c r="D74" s="100">
        <v>1.8126888217522698E-2</v>
      </c>
    </row>
    <row r="75" spans="1:4" x14ac:dyDescent="0.35">
      <c r="A75" s="25" t="s">
        <v>176</v>
      </c>
      <c r="B75" s="49">
        <v>2</v>
      </c>
      <c r="C75" s="99">
        <f t="shared" si="6"/>
        <v>1.4492753623188406E-2</v>
      </c>
      <c r="D75" s="100">
        <v>9.0634441087613302E-3</v>
      </c>
    </row>
    <row r="76" spans="1:4" x14ac:dyDescent="0.35">
      <c r="A76" s="28" t="s">
        <v>177</v>
      </c>
      <c r="B76" s="101">
        <v>0</v>
      </c>
      <c r="C76" s="102">
        <f t="shared" si="6"/>
        <v>0</v>
      </c>
      <c r="D76" s="103">
        <v>6.0422960725075503E-3</v>
      </c>
    </row>
    <row r="77" spans="1:4" x14ac:dyDescent="0.35">
      <c r="B77" s="49"/>
      <c r="C77" s="49"/>
      <c r="D77" s="49"/>
    </row>
    <row r="78" spans="1:4" ht="29" x14ac:dyDescent="0.35">
      <c r="A78" s="34" t="s">
        <v>94</v>
      </c>
      <c r="B78" s="23" t="s">
        <v>20</v>
      </c>
      <c r="C78" s="23" t="s">
        <v>238</v>
      </c>
      <c r="D78" s="24" t="s">
        <v>213</v>
      </c>
    </row>
    <row r="79" spans="1:4" x14ac:dyDescent="0.35">
      <c r="A79" s="25" t="s">
        <v>87</v>
      </c>
      <c r="B79" s="49">
        <v>27</v>
      </c>
      <c r="C79" s="99">
        <f>B79/138</f>
        <v>0.19565217391304349</v>
      </c>
      <c r="D79" s="100">
        <v>0.12386706948640483</v>
      </c>
    </row>
    <row r="80" spans="1:4" x14ac:dyDescent="0.35">
      <c r="A80" s="25" t="s">
        <v>88</v>
      </c>
      <c r="B80" s="49">
        <v>38</v>
      </c>
      <c r="C80" s="99">
        <f t="shared" ref="C80:C82" si="7">B80/138</f>
        <v>0.27536231884057971</v>
      </c>
      <c r="D80" s="100">
        <v>0.25679758308157102</v>
      </c>
    </row>
    <row r="81" spans="1:4" x14ac:dyDescent="0.35">
      <c r="A81" s="25" t="s">
        <v>89</v>
      </c>
      <c r="B81" s="49">
        <v>30</v>
      </c>
      <c r="C81" s="99">
        <f t="shared" si="7"/>
        <v>0.21739130434782608</v>
      </c>
      <c r="D81" s="100">
        <v>0.2809667673716012</v>
      </c>
    </row>
    <row r="82" spans="1:4" x14ac:dyDescent="0.35">
      <c r="A82" s="28" t="s">
        <v>90</v>
      </c>
      <c r="B82" s="101">
        <v>49</v>
      </c>
      <c r="C82" s="102">
        <f t="shared" si="7"/>
        <v>0.35507246376811596</v>
      </c>
      <c r="D82" s="103">
        <v>0.30513595166163143</v>
      </c>
    </row>
    <row r="83" spans="1:4" x14ac:dyDescent="0.35">
      <c r="B83" s="49"/>
      <c r="C83" s="49"/>
      <c r="D83" s="49"/>
    </row>
    <row r="84" spans="1:4" ht="29" x14ac:dyDescent="0.35">
      <c r="A84" s="34" t="s">
        <v>240</v>
      </c>
      <c r="B84" s="23" t="s">
        <v>20</v>
      </c>
      <c r="C84" s="23" t="s">
        <v>21</v>
      </c>
      <c r="D84" s="24" t="s">
        <v>213</v>
      </c>
    </row>
    <row r="85" spans="1:4" x14ac:dyDescent="0.35">
      <c r="A85" s="25" t="s">
        <v>241</v>
      </c>
      <c r="B85" s="49">
        <v>30</v>
      </c>
      <c r="C85" s="99">
        <f>B85/138</f>
        <v>0.21739130434782608</v>
      </c>
      <c r="D85" s="100">
        <f>65/331</f>
        <v>0.19637462235649547</v>
      </c>
    </row>
    <row r="86" spans="1:4" x14ac:dyDescent="0.35">
      <c r="A86" s="25" t="s">
        <v>242</v>
      </c>
      <c r="B86" s="49">
        <v>76</v>
      </c>
      <c r="C86" s="99">
        <f t="shared" ref="C86:C89" si="8">B86/138</f>
        <v>0.55072463768115942</v>
      </c>
      <c r="D86" s="100">
        <v>0.49546827794561932</v>
      </c>
    </row>
    <row r="87" spans="1:4" x14ac:dyDescent="0.35">
      <c r="A87" s="25" t="s">
        <v>243</v>
      </c>
      <c r="B87" s="49">
        <v>43</v>
      </c>
      <c r="C87" s="99">
        <f t="shared" si="8"/>
        <v>0.31159420289855072</v>
      </c>
      <c r="D87" s="100">
        <v>0.27492447129909364</v>
      </c>
    </row>
    <row r="88" spans="1:4" x14ac:dyDescent="0.35">
      <c r="A88" s="25" t="s">
        <v>244</v>
      </c>
      <c r="B88" s="49">
        <v>38</v>
      </c>
      <c r="C88" s="99">
        <f t="shared" si="8"/>
        <v>0.27536231884057971</v>
      </c>
      <c r="D88" s="100">
        <v>0.20845921450151059</v>
      </c>
    </row>
    <row r="89" spans="1:4" x14ac:dyDescent="0.35">
      <c r="A89" s="28" t="s">
        <v>245</v>
      </c>
      <c r="B89" s="101">
        <v>10</v>
      </c>
      <c r="C89" s="102">
        <f t="shared" si="8"/>
        <v>7.2463768115942032E-2</v>
      </c>
      <c r="D89" s="103">
        <v>9.3655589123867067E-2</v>
      </c>
    </row>
    <row r="90" spans="1:4" x14ac:dyDescent="0.35">
      <c r="B90" s="49"/>
      <c r="C90" s="49"/>
      <c r="D90" s="49"/>
    </row>
  </sheetData>
  <sheetProtection algorithmName="SHA-512" hashValue="CZ36ad31IgvN1/hEnrUq9RINTFEjvITZCVkeqYaMKVD+wUblaqDgz+g849e66LoQC2AAU0v3RVRu49rggNfeog==" saltValue="BlPPIfd2+aKFaclxxr4Czw==" spinCount="100000" sheet="1" objects="1" scenarios="1"/>
  <sortState xmlns:xlrd2="http://schemas.microsoft.com/office/spreadsheetml/2017/richdata2" ref="A42:D49">
    <sortCondition descending="1" ref="B42:B49"/>
  </sortState>
  <conditionalFormatting sqref="C14:D19">
    <cfRule type="colorScale" priority="12">
      <colorScale>
        <cfvo type="min"/>
        <cfvo type="percentile" val="50"/>
        <cfvo type="max"/>
        <color rgb="FFF8696B"/>
        <color rgb="FFFFEB84"/>
        <color rgb="FF63BE7B"/>
      </colorScale>
    </cfRule>
  </conditionalFormatting>
  <conditionalFormatting sqref="C22:D25">
    <cfRule type="colorScale" priority="6">
      <colorScale>
        <cfvo type="min"/>
        <cfvo type="percentile" val="50"/>
        <cfvo type="max"/>
        <color rgb="FFF8696B"/>
        <color rgb="FFFFEB84"/>
        <color rgb="FF63BE7B"/>
      </colorScale>
    </cfRule>
  </conditionalFormatting>
  <conditionalFormatting sqref="C28:D29">
    <cfRule type="colorScale" priority="5">
      <colorScale>
        <cfvo type="min"/>
        <cfvo type="percentile" val="50"/>
        <cfvo type="max"/>
        <color rgb="FFF8696B"/>
        <color rgb="FFFFEB84"/>
        <color rgb="FF63BE7B"/>
      </colorScale>
    </cfRule>
  </conditionalFormatting>
  <conditionalFormatting sqref="C32:D39 C79:D82">
    <cfRule type="colorScale" priority="8">
      <colorScale>
        <cfvo type="min"/>
        <cfvo type="percentile" val="50"/>
        <cfvo type="max"/>
        <color rgb="FFF8696B"/>
        <color rgb="FFFFEB84"/>
        <color rgb="FF63BE7B"/>
      </colorScale>
    </cfRule>
  </conditionalFormatting>
  <conditionalFormatting sqref="C32:D39">
    <cfRule type="colorScale" priority="4">
      <colorScale>
        <cfvo type="min"/>
        <cfvo type="percentile" val="50"/>
        <cfvo type="max"/>
        <color rgb="FFF8696B"/>
        <color rgb="FFFFEB84"/>
        <color rgb="FF63BE7B"/>
      </colorScale>
    </cfRule>
  </conditionalFormatting>
  <conditionalFormatting sqref="C42:D49">
    <cfRule type="colorScale" priority="11">
      <colorScale>
        <cfvo type="min"/>
        <cfvo type="percentile" val="50"/>
        <cfvo type="max"/>
        <color rgb="FFF8696B"/>
        <color rgb="FFFFEB84"/>
        <color rgb="FF63BE7B"/>
      </colorScale>
    </cfRule>
  </conditionalFormatting>
  <conditionalFormatting sqref="C52:D54 C22:D25 C57:D60">
    <cfRule type="colorScale" priority="10">
      <colorScale>
        <cfvo type="min"/>
        <cfvo type="percentile" val="50"/>
        <cfvo type="max"/>
        <color rgb="FFF8696B"/>
        <color rgb="FFFFEB84"/>
        <color rgb="FF63BE7B"/>
      </colorScale>
    </cfRule>
  </conditionalFormatting>
  <conditionalFormatting sqref="C57:D60">
    <cfRule type="colorScale" priority="3">
      <colorScale>
        <cfvo type="min"/>
        <cfvo type="percentile" val="50"/>
        <cfvo type="max"/>
        <color rgb="FFF8696B"/>
        <color rgb="FFFFEB84"/>
        <color rgb="FF63BE7B"/>
      </colorScale>
    </cfRule>
  </conditionalFormatting>
  <conditionalFormatting sqref="C63:D76">
    <cfRule type="colorScale" priority="9">
      <colorScale>
        <cfvo type="min"/>
        <cfvo type="percentile" val="50"/>
        <cfvo type="max"/>
        <color rgb="FFF8696B"/>
        <color rgb="FFFFEB84"/>
        <color rgb="FF63BE7B"/>
      </colorScale>
    </cfRule>
  </conditionalFormatting>
  <conditionalFormatting sqref="C79:D82">
    <cfRule type="colorScale" priority="2">
      <colorScale>
        <cfvo type="min"/>
        <cfvo type="percentile" val="50"/>
        <cfvo type="max"/>
        <color rgb="FFF8696B"/>
        <color rgb="FFFFEB84"/>
        <color rgb="FF63BE7B"/>
      </colorScale>
    </cfRule>
  </conditionalFormatting>
  <conditionalFormatting sqref="C85:D89">
    <cfRule type="colorScale" priority="1">
      <colorScale>
        <cfvo type="min"/>
        <cfvo type="percentile" val="50"/>
        <cfvo type="max"/>
        <color rgb="FFF8696B"/>
        <color rgb="FFFFEB84"/>
        <color rgb="FF63BE7B"/>
      </colorScale>
    </cfRule>
  </conditionalFormatting>
  <conditionalFormatting sqref="H18:I18 H28:I28">
    <cfRule type="colorScale" priority="13">
      <colorScale>
        <cfvo type="min"/>
        <cfvo type="percentile" val="50"/>
        <cfvo type="max"/>
        <color rgb="FFF8696B"/>
        <color rgb="FFFFEB84"/>
        <color rgb="FF63BE7B"/>
      </colorScale>
    </cfRule>
  </conditionalFormatting>
  <hyperlinks>
    <hyperlink ref="A1" location="Contents!A1" display="Back to contents page" xr:uid="{F421B5FD-EB78-49E1-9AAA-AFE3B148C40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EDB0-29A1-4815-8755-807CCE588EE7}">
  <dimension ref="A1:I90"/>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294</v>
      </c>
      <c r="C2" s="65"/>
    </row>
    <row r="3" spans="1:4" x14ac:dyDescent="0.35">
      <c r="A3" s="53" t="s">
        <v>370</v>
      </c>
    </row>
    <row r="5" spans="1:4" ht="29" x14ac:dyDescent="0.35">
      <c r="A5" s="34" t="s">
        <v>236</v>
      </c>
      <c r="B5" s="23" t="s">
        <v>234</v>
      </c>
      <c r="C5" s="24" t="s">
        <v>235</v>
      </c>
    </row>
    <row r="6" spans="1:4" x14ac:dyDescent="0.35">
      <c r="A6" s="25" t="s">
        <v>237</v>
      </c>
      <c r="B6">
        <v>280</v>
      </c>
      <c r="C6" s="58">
        <f t="shared" ref="C6:C10" si="0">B6/331</f>
        <v>0.84592145015105735</v>
      </c>
    </row>
    <row r="7" spans="1:4" x14ac:dyDescent="0.35">
      <c r="A7" s="25" t="s">
        <v>247</v>
      </c>
      <c r="B7">
        <v>157</v>
      </c>
      <c r="C7" s="59">
        <f t="shared" si="0"/>
        <v>0.47432024169184289</v>
      </c>
    </row>
    <row r="8" spans="1:4" x14ac:dyDescent="0.35">
      <c r="A8" s="25" t="s">
        <v>246</v>
      </c>
      <c r="B8">
        <v>138</v>
      </c>
      <c r="C8" s="59">
        <f t="shared" si="0"/>
        <v>0.41691842900302117</v>
      </c>
    </row>
    <row r="9" spans="1:4" x14ac:dyDescent="0.35">
      <c r="A9" s="45" t="s">
        <v>298</v>
      </c>
      <c r="B9" s="46">
        <v>145</v>
      </c>
      <c r="C9" s="62">
        <f t="shared" si="0"/>
        <v>0.4380664652567976</v>
      </c>
    </row>
    <row r="10" spans="1:4" x14ac:dyDescent="0.35">
      <c r="A10" s="28" t="s">
        <v>86</v>
      </c>
      <c r="B10" s="29">
        <v>72</v>
      </c>
      <c r="C10" s="60">
        <f t="shared" si="0"/>
        <v>0.2175226586102719</v>
      </c>
    </row>
    <row r="12" spans="1:4" x14ac:dyDescent="0.35">
      <c r="B12" s="49"/>
      <c r="C12" s="49"/>
      <c r="D12" s="49"/>
    </row>
    <row r="13" spans="1:4" ht="29" x14ac:dyDescent="0.35">
      <c r="A13" s="22" t="s">
        <v>19</v>
      </c>
      <c r="B13" s="23" t="s">
        <v>20</v>
      </c>
      <c r="C13" s="23" t="s">
        <v>238</v>
      </c>
      <c r="D13" s="24" t="s">
        <v>213</v>
      </c>
    </row>
    <row r="14" spans="1:4" x14ac:dyDescent="0.35">
      <c r="A14" s="25" t="s">
        <v>22</v>
      </c>
      <c r="B14" s="49">
        <v>1</v>
      </c>
      <c r="C14" s="99">
        <f>B14/145</f>
        <v>6.8965517241379309E-3</v>
      </c>
      <c r="D14" s="100">
        <v>1.2084592145015106E-2</v>
      </c>
    </row>
    <row r="15" spans="1:4" x14ac:dyDescent="0.35">
      <c r="A15" s="25" t="s">
        <v>23</v>
      </c>
      <c r="B15" s="49">
        <v>10</v>
      </c>
      <c r="C15" s="99">
        <f t="shared" ref="C15:C19" si="1">B15/145</f>
        <v>6.8965517241379309E-2</v>
      </c>
      <c r="D15" s="100">
        <v>0.11178247734138973</v>
      </c>
    </row>
    <row r="16" spans="1:4" x14ac:dyDescent="0.35">
      <c r="A16" s="25" t="s">
        <v>239</v>
      </c>
      <c r="B16" s="49">
        <v>70</v>
      </c>
      <c r="C16" s="99">
        <f t="shared" si="1"/>
        <v>0.48275862068965519</v>
      </c>
      <c r="D16" s="100">
        <v>0.54380664652567978</v>
      </c>
    </row>
    <row r="17" spans="1:9" x14ac:dyDescent="0.35">
      <c r="A17" s="25" t="s">
        <v>25</v>
      </c>
      <c r="B17" s="49">
        <v>48</v>
      </c>
      <c r="C17" s="99">
        <f t="shared" si="1"/>
        <v>0.33103448275862069</v>
      </c>
      <c r="D17" s="100">
        <v>0.25981873111782477</v>
      </c>
    </row>
    <row r="18" spans="1:9" x14ac:dyDescent="0.35">
      <c r="A18" s="25" t="s">
        <v>26</v>
      </c>
      <c r="B18" s="49">
        <v>14</v>
      </c>
      <c r="C18" s="99">
        <f t="shared" si="1"/>
        <v>9.6551724137931033E-2</v>
      </c>
      <c r="D18" s="100">
        <v>6.3444108761329304E-2</v>
      </c>
      <c r="H18" s="39"/>
      <c r="I18" s="39"/>
    </row>
    <row r="19" spans="1:9" x14ac:dyDescent="0.35">
      <c r="A19" s="28" t="s">
        <v>27</v>
      </c>
      <c r="B19" s="101">
        <v>2</v>
      </c>
      <c r="C19" s="102">
        <f t="shared" si="1"/>
        <v>1.3793103448275862E-2</v>
      </c>
      <c r="D19" s="103">
        <v>9.0634441087613302E-3</v>
      </c>
    </row>
    <row r="20" spans="1:9" x14ac:dyDescent="0.35">
      <c r="B20" s="49"/>
      <c r="C20" s="49"/>
      <c r="D20" s="49"/>
    </row>
    <row r="21" spans="1:9" ht="29" x14ac:dyDescent="0.35">
      <c r="A21" s="34" t="s">
        <v>115</v>
      </c>
      <c r="B21" s="23" t="s">
        <v>20</v>
      </c>
      <c r="C21" s="23" t="s">
        <v>238</v>
      </c>
      <c r="D21" s="24" t="s">
        <v>213</v>
      </c>
    </row>
    <row r="22" spans="1:9" x14ac:dyDescent="0.35">
      <c r="A22" s="25" t="s">
        <v>116</v>
      </c>
      <c r="B22" s="49">
        <v>15</v>
      </c>
      <c r="C22" s="99">
        <f>B22/145</f>
        <v>0.10344827586206896</v>
      </c>
      <c r="D22" s="100">
        <v>8.1081081081081086E-2</v>
      </c>
    </row>
    <row r="23" spans="1:9" x14ac:dyDescent="0.35">
      <c r="A23" s="25" t="s">
        <v>117</v>
      </c>
      <c r="B23" s="49">
        <v>17</v>
      </c>
      <c r="C23" s="99">
        <f t="shared" ref="C23:C25" si="2">B23/145</f>
        <v>0.11724137931034483</v>
      </c>
      <c r="D23" s="100">
        <v>9.0090090090090086E-2</v>
      </c>
    </row>
    <row r="24" spans="1:9" x14ac:dyDescent="0.35">
      <c r="A24" s="25" t="s">
        <v>118</v>
      </c>
      <c r="B24" s="49">
        <v>66</v>
      </c>
      <c r="C24" s="99">
        <f t="shared" si="2"/>
        <v>0.45517241379310347</v>
      </c>
      <c r="D24" s="100">
        <v>0.38438438438438438</v>
      </c>
    </row>
    <row r="25" spans="1:9" x14ac:dyDescent="0.35">
      <c r="A25" s="28" t="s">
        <v>119</v>
      </c>
      <c r="B25" s="101">
        <v>48</v>
      </c>
      <c r="C25" s="102">
        <f t="shared" si="2"/>
        <v>0.33103448275862069</v>
      </c>
      <c r="D25" s="103">
        <v>0.44144144144144143</v>
      </c>
    </row>
    <row r="26" spans="1:9" x14ac:dyDescent="0.35">
      <c r="B26" s="49"/>
      <c r="C26" s="49"/>
      <c r="D26" s="49"/>
    </row>
    <row r="27" spans="1:9" ht="43.5" x14ac:dyDescent="0.35">
      <c r="A27" s="34" t="s">
        <v>145</v>
      </c>
      <c r="B27" s="23" t="s">
        <v>20</v>
      </c>
      <c r="C27" s="23" t="s">
        <v>238</v>
      </c>
      <c r="D27" s="24" t="s">
        <v>213</v>
      </c>
    </row>
    <row r="28" spans="1:9" x14ac:dyDescent="0.35">
      <c r="A28" s="25" t="s">
        <v>143</v>
      </c>
      <c r="B28" s="49">
        <v>42</v>
      </c>
      <c r="C28" s="99">
        <f>B28/145</f>
        <v>0.28965517241379313</v>
      </c>
      <c r="D28" s="100">
        <v>0.26586102719033233</v>
      </c>
      <c r="H28" s="39"/>
      <c r="I28" s="39"/>
    </row>
    <row r="29" spans="1:9" x14ac:dyDescent="0.35">
      <c r="A29" s="28" t="s">
        <v>144</v>
      </c>
      <c r="B29" s="101">
        <v>103</v>
      </c>
      <c r="C29" s="102">
        <f>B29/145</f>
        <v>0.71034482758620687</v>
      </c>
      <c r="D29" s="103">
        <v>0.73413897280966767</v>
      </c>
    </row>
    <row r="30" spans="1:9" x14ac:dyDescent="0.35">
      <c r="B30" s="49"/>
      <c r="C30" s="49"/>
      <c r="D30" s="49"/>
    </row>
    <row r="31" spans="1:9" ht="29" x14ac:dyDescent="0.35">
      <c r="A31" s="34" t="s">
        <v>105</v>
      </c>
      <c r="B31" s="23" t="s">
        <v>20</v>
      </c>
      <c r="C31" s="23" t="s">
        <v>238</v>
      </c>
      <c r="D31" s="24" t="s">
        <v>213</v>
      </c>
    </row>
    <row r="32" spans="1:9" x14ac:dyDescent="0.35">
      <c r="A32" s="25" t="s">
        <v>107</v>
      </c>
      <c r="B32" s="49">
        <v>9</v>
      </c>
      <c r="C32" s="99">
        <f>B32/145</f>
        <v>6.2068965517241378E-2</v>
      </c>
      <c r="D32" s="100">
        <v>6.3444108761329304E-2</v>
      </c>
    </row>
    <row r="33" spans="1:4" x14ac:dyDescent="0.35">
      <c r="A33" s="25" t="s">
        <v>108</v>
      </c>
      <c r="B33" s="49">
        <v>6</v>
      </c>
      <c r="C33" s="99">
        <f t="shared" ref="C33:C39" si="3">B33/145</f>
        <v>4.1379310344827586E-2</v>
      </c>
      <c r="D33" s="100">
        <v>3.3232628398791542E-2</v>
      </c>
    </row>
    <row r="34" spans="1:4" x14ac:dyDescent="0.35">
      <c r="A34" s="25" t="s">
        <v>109</v>
      </c>
      <c r="B34" s="49">
        <v>6</v>
      </c>
      <c r="C34" s="99">
        <f t="shared" si="3"/>
        <v>4.1379310344827586E-2</v>
      </c>
      <c r="D34" s="100">
        <v>3.9274924471299093E-2</v>
      </c>
    </row>
    <row r="35" spans="1:4" x14ac:dyDescent="0.35">
      <c r="A35" s="25" t="s">
        <v>110</v>
      </c>
      <c r="B35" s="49">
        <v>17</v>
      </c>
      <c r="C35" s="99">
        <f t="shared" si="3"/>
        <v>0.11724137931034483</v>
      </c>
      <c r="D35" s="100">
        <v>0.11480362537764351</v>
      </c>
    </row>
    <row r="36" spans="1:4" x14ac:dyDescent="0.35">
      <c r="A36" s="25" t="s">
        <v>111</v>
      </c>
      <c r="B36" s="49">
        <v>33</v>
      </c>
      <c r="C36" s="99">
        <f t="shared" si="3"/>
        <v>0.22758620689655173</v>
      </c>
      <c r="D36" s="100">
        <v>0.18731117824773413</v>
      </c>
    </row>
    <row r="37" spans="1:4" x14ac:dyDescent="0.35">
      <c r="A37" s="25" t="s">
        <v>112</v>
      </c>
      <c r="B37" s="49">
        <v>12</v>
      </c>
      <c r="C37" s="99">
        <f t="shared" si="3"/>
        <v>8.2758620689655171E-2</v>
      </c>
      <c r="D37" s="100">
        <v>0.10574018126888217</v>
      </c>
    </row>
    <row r="38" spans="1:4" x14ac:dyDescent="0.35">
      <c r="A38" s="25" t="s">
        <v>113</v>
      </c>
      <c r="B38" s="49">
        <v>52</v>
      </c>
      <c r="C38" s="99">
        <f t="shared" si="3"/>
        <v>0.35862068965517241</v>
      </c>
      <c r="D38" s="100">
        <v>0.39577039274924469</v>
      </c>
    </row>
    <row r="39" spans="1:4" x14ac:dyDescent="0.35">
      <c r="A39" s="28" t="s">
        <v>114</v>
      </c>
      <c r="B39" s="101">
        <v>9</v>
      </c>
      <c r="C39" s="102">
        <f t="shared" si="3"/>
        <v>6.2068965517241378E-2</v>
      </c>
      <c r="D39" s="103">
        <v>6.0422960725075532E-2</v>
      </c>
    </row>
    <row r="40" spans="1:4" x14ac:dyDescent="0.35">
      <c r="B40" s="49"/>
      <c r="C40" s="49"/>
      <c r="D40" s="49"/>
    </row>
    <row r="41" spans="1:4" ht="29" x14ac:dyDescent="0.35">
      <c r="A41" s="34" t="s">
        <v>154</v>
      </c>
      <c r="B41" s="23" t="s">
        <v>20</v>
      </c>
      <c r="C41" s="23" t="s">
        <v>238</v>
      </c>
      <c r="D41" s="24" t="s">
        <v>213</v>
      </c>
    </row>
    <row r="42" spans="1:4" x14ac:dyDescent="0.35">
      <c r="A42" s="25" t="s">
        <v>155</v>
      </c>
      <c r="B42" s="49">
        <v>94</v>
      </c>
      <c r="C42" s="99">
        <f>B42/145</f>
        <v>0.64827586206896548</v>
      </c>
      <c r="D42" s="100">
        <v>0.66767371601208458</v>
      </c>
    </row>
    <row r="43" spans="1:4" x14ac:dyDescent="0.35">
      <c r="A43" s="25" t="s">
        <v>156</v>
      </c>
      <c r="B43" s="49">
        <v>45</v>
      </c>
      <c r="C43" s="99">
        <f t="shared" ref="C43:C49" si="4">B43/145</f>
        <v>0.31034482758620691</v>
      </c>
      <c r="D43" s="100">
        <v>0.25377643504531722</v>
      </c>
    </row>
    <row r="44" spans="1:4" x14ac:dyDescent="0.35">
      <c r="A44" s="25" t="s">
        <v>157</v>
      </c>
      <c r="B44" s="49">
        <v>19</v>
      </c>
      <c r="C44" s="99">
        <f t="shared" si="4"/>
        <v>0.1310344827586207</v>
      </c>
      <c r="D44" s="100">
        <v>0.15105740181268881</v>
      </c>
    </row>
    <row r="45" spans="1:4" x14ac:dyDescent="0.35">
      <c r="A45" s="25" t="s">
        <v>158</v>
      </c>
      <c r="B45" s="49">
        <v>30</v>
      </c>
      <c r="C45" s="99">
        <f t="shared" si="4"/>
        <v>0.20689655172413793</v>
      </c>
      <c r="D45" s="100">
        <v>0.14501510574018128</v>
      </c>
    </row>
    <row r="46" spans="1:4" x14ac:dyDescent="0.35">
      <c r="A46" s="25" t="s">
        <v>159</v>
      </c>
      <c r="B46" s="49">
        <v>18</v>
      </c>
      <c r="C46" s="99">
        <f t="shared" si="4"/>
        <v>0.12413793103448276</v>
      </c>
      <c r="D46" s="100">
        <v>0.12688821752265861</v>
      </c>
    </row>
    <row r="47" spans="1:4" x14ac:dyDescent="0.35">
      <c r="A47" s="25" t="s">
        <v>160</v>
      </c>
      <c r="B47" s="49">
        <v>17</v>
      </c>
      <c r="C47" s="99">
        <f t="shared" si="4"/>
        <v>0.11724137931034483</v>
      </c>
      <c r="D47" s="100">
        <v>0.10574018126888217</v>
      </c>
    </row>
    <row r="48" spans="1:4" x14ac:dyDescent="0.35">
      <c r="A48" s="25" t="s">
        <v>161</v>
      </c>
      <c r="B48" s="49">
        <v>8</v>
      </c>
      <c r="C48" s="99">
        <f t="shared" si="4"/>
        <v>5.5172413793103448E-2</v>
      </c>
      <c r="D48" s="100">
        <v>7.8549848942598186E-2</v>
      </c>
    </row>
    <row r="49" spans="1:4" x14ac:dyDescent="0.35">
      <c r="A49" s="28" t="s">
        <v>162</v>
      </c>
      <c r="B49" s="101">
        <v>1</v>
      </c>
      <c r="C49" s="102">
        <f t="shared" si="4"/>
        <v>6.8965517241379309E-3</v>
      </c>
      <c r="D49" s="103">
        <v>1.2084592145015106E-2</v>
      </c>
    </row>
    <row r="50" spans="1:4" x14ac:dyDescent="0.35">
      <c r="B50" s="49"/>
      <c r="C50" s="49"/>
      <c r="D50" s="49"/>
    </row>
    <row r="51" spans="1:4" ht="43.5" x14ac:dyDescent="0.35">
      <c r="A51" s="34" t="s">
        <v>146</v>
      </c>
      <c r="B51" s="23" t="s">
        <v>20</v>
      </c>
      <c r="C51" s="23" t="s">
        <v>238</v>
      </c>
      <c r="D51" s="24" t="s">
        <v>213</v>
      </c>
    </row>
    <row r="52" spans="1:4" x14ac:dyDescent="0.35">
      <c r="A52" s="25" t="s">
        <v>147</v>
      </c>
      <c r="B52" s="49">
        <v>121</v>
      </c>
      <c r="C52" s="99">
        <f>B52/145</f>
        <v>0.83448275862068966</v>
      </c>
      <c r="D52" s="100">
        <v>0.83383685800604235</v>
      </c>
    </row>
    <row r="53" spans="1:4" x14ac:dyDescent="0.35">
      <c r="A53" s="25" t="s">
        <v>148</v>
      </c>
      <c r="B53" s="49">
        <v>50</v>
      </c>
      <c r="C53" s="99">
        <f t="shared" ref="C53:C54" si="5">B53/145</f>
        <v>0.34482758620689657</v>
      </c>
      <c r="D53" s="100">
        <v>0.38368580060422963</v>
      </c>
    </row>
    <row r="54" spans="1:4" x14ac:dyDescent="0.35">
      <c r="A54" s="28" t="s">
        <v>89</v>
      </c>
      <c r="B54" s="101">
        <v>17</v>
      </c>
      <c r="C54" s="102">
        <f t="shared" si="5"/>
        <v>0.11724137931034483</v>
      </c>
      <c r="D54" s="103">
        <v>0.12084592145015106</v>
      </c>
    </row>
    <row r="55" spans="1:4" x14ac:dyDescent="0.35">
      <c r="B55" s="49"/>
      <c r="C55" s="49"/>
      <c r="D55" s="49"/>
    </row>
    <row r="56" spans="1:4" ht="87" x14ac:dyDescent="0.35">
      <c r="A56" s="34" t="s">
        <v>149</v>
      </c>
      <c r="B56" s="23" t="s">
        <v>20</v>
      </c>
      <c r="C56" s="23" t="s">
        <v>238</v>
      </c>
      <c r="D56" s="24" t="s">
        <v>213</v>
      </c>
    </row>
    <row r="57" spans="1:4" x14ac:dyDescent="0.35">
      <c r="A57" s="25" t="s">
        <v>150</v>
      </c>
      <c r="B57" s="49">
        <v>67</v>
      </c>
      <c r="C57" s="99">
        <f>B57/145</f>
        <v>0.46206896551724136</v>
      </c>
      <c r="D57" s="100">
        <v>0.45015105740181272</v>
      </c>
    </row>
    <row r="58" spans="1:4" x14ac:dyDescent="0.35">
      <c r="A58" s="25" t="s">
        <v>152</v>
      </c>
      <c r="B58" s="49">
        <v>76</v>
      </c>
      <c r="C58" s="99">
        <f t="shared" ref="C58:C60" si="6">B58/145</f>
        <v>0.52413793103448281</v>
      </c>
      <c r="D58" s="100">
        <v>0.52567975830815705</v>
      </c>
    </row>
    <row r="59" spans="1:4" x14ac:dyDescent="0.35">
      <c r="A59" s="25" t="s">
        <v>151</v>
      </c>
      <c r="B59" s="49">
        <v>87</v>
      </c>
      <c r="C59" s="99">
        <f t="shared" si="6"/>
        <v>0.6</v>
      </c>
      <c r="D59" s="100">
        <v>0.58308157099697888</v>
      </c>
    </row>
    <row r="60" spans="1:4" x14ac:dyDescent="0.35">
      <c r="A60" s="28" t="s">
        <v>153</v>
      </c>
      <c r="B60" s="101">
        <v>53</v>
      </c>
      <c r="C60" s="102">
        <f t="shared" si="6"/>
        <v>0.36551724137931035</v>
      </c>
      <c r="D60" s="103">
        <v>0.38368580060422963</v>
      </c>
    </row>
    <row r="61" spans="1:4" x14ac:dyDescent="0.35">
      <c r="B61" s="49"/>
      <c r="C61" s="49"/>
      <c r="D61" s="49"/>
    </row>
    <row r="62" spans="1:4" ht="43.5" x14ac:dyDescent="0.35">
      <c r="A62" s="34" t="s">
        <v>163</v>
      </c>
      <c r="B62" s="23" t="s">
        <v>20</v>
      </c>
      <c r="C62" s="23" t="s">
        <v>238</v>
      </c>
      <c r="D62" s="24" t="s">
        <v>213</v>
      </c>
    </row>
    <row r="63" spans="1:4" x14ac:dyDescent="0.35">
      <c r="A63" s="25" t="s">
        <v>164</v>
      </c>
      <c r="B63" s="49">
        <v>64</v>
      </c>
      <c r="C63" s="99">
        <f t="shared" ref="C63:C76" si="7">B63/145</f>
        <v>0.44137931034482758</v>
      </c>
      <c r="D63" s="100">
        <v>0.39274924471299094</v>
      </c>
    </row>
    <row r="64" spans="1:4" x14ac:dyDescent="0.35">
      <c r="A64" s="25" t="s">
        <v>165</v>
      </c>
      <c r="B64" s="49">
        <v>54</v>
      </c>
      <c r="C64" s="99">
        <f t="shared" si="7"/>
        <v>0.3724137931034483</v>
      </c>
      <c r="D64" s="100">
        <v>0.38670694864048338</v>
      </c>
    </row>
    <row r="65" spans="1:4" x14ac:dyDescent="0.35">
      <c r="A65" s="25" t="s">
        <v>166</v>
      </c>
      <c r="B65" s="49">
        <v>33</v>
      </c>
      <c r="C65" s="99">
        <f t="shared" si="7"/>
        <v>0.22758620689655173</v>
      </c>
      <c r="D65" s="100">
        <v>0.23262839879154079</v>
      </c>
    </row>
    <row r="66" spans="1:4" x14ac:dyDescent="0.35">
      <c r="A66" s="25" t="s">
        <v>168</v>
      </c>
      <c r="B66" s="49">
        <v>33</v>
      </c>
      <c r="C66" s="99">
        <f t="shared" si="7"/>
        <v>0.22758620689655173</v>
      </c>
      <c r="D66" s="100">
        <v>0.2175226586102719</v>
      </c>
    </row>
    <row r="67" spans="1:4" x14ac:dyDescent="0.35">
      <c r="A67" s="25" t="s">
        <v>167</v>
      </c>
      <c r="B67" s="49">
        <v>28</v>
      </c>
      <c r="C67" s="99">
        <f t="shared" si="7"/>
        <v>0.19310344827586207</v>
      </c>
      <c r="D67" s="100">
        <v>0.22658610271903323</v>
      </c>
    </row>
    <row r="68" spans="1:4" x14ac:dyDescent="0.35">
      <c r="A68" s="25" t="s">
        <v>169</v>
      </c>
      <c r="B68" s="49">
        <v>26</v>
      </c>
      <c r="C68" s="99">
        <f t="shared" si="7"/>
        <v>0.1793103448275862</v>
      </c>
      <c r="D68" s="100">
        <v>0.19637462235649547</v>
      </c>
    </row>
    <row r="69" spans="1:4" x14ac:dyDescent="0.35">
      <c r="A69" s="25" t="s">
        <v>171</v>
      </c>
      <c r="B69" s="49">
        <v>24</v>
      </c>
      <c r="C69" s="99">
        <f t="shared" si="7"/>
        <v>0.16551724137931034</v>
      </c>
      <c r="D69" s="100">
        <v>0.15105740181268881</v>
      </c>
    </row>
    <row r="70" spans="1:4" x14ac:dyDescent="0.35">
      <c r="A70" s="25" t="s">
        <v>170</v>
      </c>
      <c r="B70" s="49">
        <v>23</v>
      </c>
      <c r="C70" s="99">
        <f t="shared" si="7"/>
        <v>0.15862068965517243</v>
      </c>
      <c r="D70" s="100">
        <v>0.16314199395770393</v>
      </c>
    </row>
    <row r="71" spans="1:4" x14ac:dyDescent="0.35">
      <c r="A71" s="25" t="s">
        <v>172</v>
      </c>
      <c r="B71" s="49">
        <v>9</v>
      </c>
      <c r="C71" s="99">
        <f t="shared" si="7"/>
        <v>6.2068965517241378E-2</v>
      </c>
      <c r="D71" s="100">
        <v>5.7401812688821753E-2</v>
      </c>
    </row>
    <row r="72" spans="1:4" x14ac:dyDescent="0.35">
      <c r="A72" s="25" t="s">
        <v>175</v>
      </c>
      <c r="B72" s="49">
        <v>6</v>
      </c>
      <c r="C72" s="99">
        <f t="shared" si="7"/>
        <v>4.1379310344827586E-2</v>
      </c>
      <c r="D72" s="100">
        <v>1.8126888217522698E-2</v>
      </c>
    </row>
    <row r="73" spans="1:4" x14ac:dyDescent="0.35">
      <c r="A73" s="25" t="s">
        <v>173</v>
      </c>
      <c r="B73" s="49">
        <v>6</v>
      </c>
      <c r="C73" s="99">
        <f t="shared" si="7"/>
        <v>4.1379310344827586E-2</v>
      </c>
      <c r="D73" s="100">
        <v>5.1359516616314202E-2</v>
      </c>
    </row>
    <row r="74" spans="1:4" x14ac:dyDescent="0.35">
      <c r="A74" s="25" t="s">
        <v>174</v>
      </c>
      <c r="B74" s="49">
        <v>2</v>
      </c>
      <c r="C74" s="99">
        <f t="shared" si="7"/>
        <v>1.3793103448275862E-2</v>
      </c>
      <c r="D74" s="100">
        <v>2.4169184290030201E-2</v>
      </c>
    </row>
    <row r="75" spans="1:4" x14ac:dyDescent="0.35">
      <c r="A75" s="25" t="s">
        <v>176</v>
      </c>
      <c r="B75" s="49">
        <v>1</v>
      </c>
      <c r="C75" s="99">
        <f t="shared" si="7"/>
        <v>6.8965517241379309E-3</v>
      </c>
      <c r="D75" s="100">
        <v>9.0634441087613302E-3</v>
      </c>
    </row>
    <row r="76" spans="1:4" x14ac:dyDescent="0.35">
      <c r="A76" s="28" t="s">
        <v>177</v>
      </c>
      <c r="B76" s="101">
        <v>0</v>
      </c>
      <c r="C76" s="102">
        <f t="shared" si="7"/>
        <v>0</v>
      </c>
      <c r="D76" s="103">
        <v>6.0422960725075503E-3</v>
      </c>
    </row>
    <row r="77" spans="1:4" x14ac:dyDescent="0.35">
      <c r="B77" s="49"/>
      <c r="C77" s="49"/>
      <c r="D77" s="49"/>
    </row>
    <row r="78" spans="1:4" ht="29" x14ac:dyDescent="0.35">
      <c r="A78" s="34" t="s">
        <v>94</v>
      </c>
      <c r="B78" s="23" t="s">
        <v>20</v>
      </c>
      <c r="C78" s="23" t="s">
        <v>238</v>
      </c>
      <c r="D78" s="24" t="s">
        <v>213</v>
      </c>
    </row>
    <row r="79" spans="1:4" x14ac:dyDescent="0.35">
      <c r="A79" s="25" t="s">
        <v>87</v>
      </c>
      <c r="B79" s="49">
        <v>26</v>
      </c>
      <c r="C79" s="99">
        <f>B79/145</f>
        <v>0.1793103448275862</v>
      </c>
      <c r="D79" s="100">
        <v>0.12386706948640483</v>
      </c>
    </row>
    <row r="80" spans="1:4" x14ac:dyDescent="0.35">
      <c r="A80" s="25" t="s">
        <v>88</v>
      </c>
      <c r="B80" s="49">
        <v>41</v>
      </c>
      <c r="C80" s="99">
        <f t="shared" ref="C80:C82" si="8">B80/145</f>
        <v>0.28275862068965518</v>
      </c>
      <c r="D80" s="100">
        <v>0.25679758308157102</v>
      </c>
    </row>
    <row r="81" spans="1:4" x14ac:dyDescent="0.35">
      <c r="A81" s="25" t="s">
        <v>89</v>
      </c>
      <c r="B81" s="49">
        <v>33</v>
      </c>
      <c r="C81" s="99">
        <f t="shared" si="8"/>
        <v>0.22758620689655173</v>
      </c>
      <c r="D81" s="100">
        <v>0.2809667673716012</v>
      </c>
    </row>
    <row r="82" spans="1:4" x14ac:dyDescent="0.35">
      <c r="A82" s="28" t="s">
        <v>90</v>
      </c>
      <c r="B82" s="101">
        <v>52</v>
      </c>
      <c r="C82" s="102">
        <f t="shared" si="8"/>
        <v>0.35862068965517241</v>
      </c>
      <c r="D82" s="103">
        <v>0.30513595166163143</v>
      </c>
    </row>
    <row r="83" spans="1:4" x14ac:dyDescent="0.35">
      <c r="B83" s="49"/>
      <c r="C83" s="49"/>
      <c r="D83" s="49"/>
    </row>
    <row r="84" spans="1:4" ht="29" x14ac:dyDescent="0.35">
      <c r="A84" s="22" t="s">
        <v>240</v>
      </c>
      <c r="B84" s="23" t="s">
        <v>20</v>
      </c>
      <c r="C84" s="23" t="s">
        <v>21</v>
      </c>
      <c r="D84" s="24" t="s">
        <v>213</v>
      </c>
    </row>
    <row r="85" spans="1:4" x14ac:dyDescent="0.35">
      <c r="A85" s="25" t="s">
        <v>241</v>
      </c>
      <c r="B85" s="49">
        <v>37</v>
      </c>
      <c r="C85" s="99">
        <f>B85/145</f>
        <v>0.25517241379310346</v>
      </c>
      <c r="D85" s="100">
        <f>65/331</f>
        <v>0.19637462235649547</v>
      </c>
    </row>
    <row r="86" spans="1:4" x14ac:dyDescent="0.35">
      <c r="A86" s="25" t="s">
        <v>242</v>
      </c>
      <c r="B86" s="49">
        <v>78</v>
      </c>
      <c r="C86" s="99">
        <f t="shared" ref="C86:C89" si="9">B86/145</f>
        <v>0.53793103448275859</v>
      </c>
      <c r="D86" s="100">
        <v>0.49546827794561932</v>
      </c>
    </row>
    <row r="87" spans="1:4" x14ac:dyDescent="0.35">
      <c r="A87" s="25" t="s">
        <v>243</v>
      </c>
      <c r="B87" s="49">
        <v>42</v>
      </c>
      <c r="C87" s="99">
        <f t="shared" si="9"/>
        <v>0.28965517241379313</v>
      </c>
      <c r="D87" s="100">
        <v>0.27492447129909364</v>
      </c>
    </row>
    <row r="88" spans="1:4" x14ac:dyDescent="0.35">
      <c r="A88" s="25" t="s">
        <v>244</v>
      </c>
      <c r="B88" s="49">
        <v>34</v>
      </c>
      <c r="C88" s="99">
        <f t="shared" si="9"/>
        <v>0.23448275862068965</v>
      </c>
      <c r="D88" s="100">
        <v>0.20845921450151059</v>
      </c>
    </row>
    <row r="89" spans="1:4" x14ac:dyDescent="0.35">
      <c r="A89" s="28" t="s">
        <v>245</v>
      </c>
      <c r="B89" s="101">
        <v>17</v>
      </c>
      <c r="C89" s="102">
        <f t="shared" si="9"/>
        <v>0.11724137931034483</v>
      </c>
      <c r="D89" s="103">
        <v>9.3655589123867067E-2</v>
      </c>
    </row>
    <row r="90" spans="1:4" x14ac:dyDescent="0.35">
      <c r="B90" s="49"/>
      <c r="C90" s="49"/>
      <c r="D90" s="49"/>
    </row>
  </sheetData>
  <sheetProtection algorithmName="SHA-512" hashValue="IxCykDIz89UG2N7CyzxKkaDF8Hid1qu/5iTGSJz3rEZdXrxvQe8nd/SlN028UwxcgNeNV+Lp5/83A73RsoYRLg==" saltValue="kPax8iAcWg0u03QBwnb8+A==" spinCount="100000" sheet="1" objects="1" scenarios="1"/>
  <sortState xmlns:xlrd2="http://schemas.microsoft.com/office/spreadsheetml/2017/richdata2" ref="A63:D76">
    <sortCondition descending="1" ref="B63:B76"/>
  </sortState>
  <conditionalFormatting sqref="C14:D19">
    <cfRule type="colorScale" priority="14">
      <colorScale>
        <cfvo type="min"/>
        <cfvo type="percentile" val="50"/>
        <cfvo type="max"/>
        <color rgb="FFF8696B"/>
        <color rgb="FFFFEB84"/>
        <color rgb="FF63BE7B"/>
      </colorScale>
    </cfRule>
  </conditionalFormatting>
  <conditionalFormatting sqref="C22:D25 C52:D54 C57:D60">
    <cfRule type="colorScale" priority="12">
      <colorScale>
        <cfvo type="min"/>
        <cfvo type="percentile" val="50"/>
        <cfvo type="max"/>
        <color rgb="FFF8696B"/>
        <color rgb="FFFFEB84"/>
        <color rgb="FF63BE7B"/>
      </colorScale>
    </cfRule>
  </conditionalFormatting>
  <conditionalFormatting sqref="C22:D25">
    <cfRule type="colorScale" priority="8">
      <colorScale>
        <cfvo type="min"/>
        <cfvo type="percentile" val="50"/>
        <cfvo type="max"/>
        <color rgb="FFF8696B"/>
        <color rgb="FFFFEB84"/>
        <color rgb="FF63BE7B"/>
      </colorScale>
    </cfRule>
  </conditionalFormatting>
  <conditionalFormatting sqref="C28:D29">
    <cfRule type="colorScale" priority="7">
      <colorScale>
        <cfvo type="min"/>
        <cfvo type="percentile" val="50"/>
        <cfvo type="max"/>
        <color rgb="FFF8696B"/>
        <color rgb="FFFFEB84"/>
        <color rgb="FF63BE7B"/>
      </colorScale>
    </cfRule>
  </conditionalFormatting>
  <conditionalFormatting sqref="C32:D39 C79:D82">
    <cfRule type="colorScale" priority="10">
      <colorScale>
        <cfvo type="min"/>
        <cfvo type="percentile" val="50"/>
        <cfvo type="max"/>
        <color rgb="FFF8696B"/>
        <color rgb="FFFFEB84"/>
        <color rgb="FF63BE7B"/>
      </colorScale>
    </cfRule>
  </conditionalFormatting>
  <conditionalFormatting sqref="C32:D39">
    <cfRule type="colorScale" priority="6">
      <colorScale>
        <cfvo type="min"/>
        <cfvo type="percentile" val="50"/>
        <cfvo type="max"/>
        <color rgb="FFF8696B"/>
        <color rgb="FFFFEB84"/>
        <color rgb="FF63BE7B"/>
      </colorScale>
    </cfRule>
  </conditionalFormatting>
  <conditionalFormatting sqref="C42:D49">
    <cfRule type="colorScale" priority="5">
      <colorScale>
        <cfvo type="min"/>
        <cfvo type="percentile" val="50"/>
        <cfvo type="max"/>
        <color rgb="FFF8696B"/>
        <color rgb="FFFFEB84"/>
        <color rgb="FF63BE7B"/>
      </colorScale>
    </cfRule>
  </conditionalFormatting>
  <conditionalFormatting sqref="C57:D60">
    <cfRule type="colorScale" priority="4">
      <colorScale>
        <cfvo type="min"/>
        <cfvo type="percentile" val="50"/>
        <cfvo type="max"/>
        <color rgb="FFF8696B"/>
        <color rgb="FFFFEB84"/>
        <color rgb="FF63BE7B"/>
      </colorScale>
    </cfRule>
  </conditionalFormatting>
  <conditionalFormatting sqref="C63:D76">
    <cfRule type="colorScale" priority="11">
      <colorScale>
        <cfvo type="min"/>
        <cfvo type="percentile" val="50"/>
        <cfvo type="max"/>
        <color rgb="FFF8696B"/>
        <color rgb="FFFFEB84"/>
        <color rgb="FF63BE7B"/>
      </colorScale>
    </cfRule>
  </conditionalFormatting>
  <conditionalFormatting sqref="C79:D82">
    <cfRule type="colorScale" priority="3">
      <colorScale>
        <cfvo type="min"/>
        <cfvo type="percentile" val="50"/>
        <cfvo type="max"/>
        <color rgb="FFF8696B"/>
        <color rgb="FFFFEB84"/>
        <color rgb="FF63BE7B"/>
      </colorScale>
    </cfRule>
  </conditionalFormatting>
  <conditionalFormatting sqref="C85:D89">
    <cfRule type="colorScale" priority="1">
      <colorScale>
        <cfvo type="min"/>
        <cfvo type="percentile" val="50"/>
        <cfvo type="max"/>
        <color rgb="FFF8696B"/>
        <color rgb="FFFFEB84"/>
        <color rgb="FF63BE7B"/>
      </colorScale>
    </cfRule>
  </conditionalFormatting>
  <conditionalFormatting sqref="H18:I18 H28:I28">
    <cfRule type="colorScale" priority="15">
      <colorScale>
        <cfvo type="min"/>
        <cfvo type="percentile" val="50"/>
        <cfvo type="max"/>
        <color rgb="FFF8696B"/>
        <color rgb="FFFFEB84"/>
        <color rgb="FF63BE7B"/>
      </colorScale>
    </cfRule>
  </conditionalFormatting>
  <hyperlinks>
    <hyperlink ref="A1" location="Contents!A1" display="Back to contents page" xr:uid="{98A19888-0D28-46D6-A3A0-DADAC165BBDD}"/>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37FBC-929B-4E88-8A20-9B5D089BC831}">
  <dimension ref="A1:I90"/>
  <sheetViews>
    <sheetView zoomScaleNormal="100" workbookViewId="0">
      <selection activeCell="A3" sqref="A3"/>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295</v>
      </c>
    </row>
    <row r="3" spans="1:4" x14ac:dyDescent="0.35">
      <c r="A3" s="53" t="s">
        <v>370</v>
      </c>
    </row>
    <row r="5" spans="1:4" ht="29" x14ac:dyDescent="0.35">
      <c r="A5" s="34" t="s">
        <v>299</v>
      </c>
      <c r="B5" s="23" t="s">
        <v>234</v>
      </c>
      <c r="C5" s="24" t="s">
        <v>235</v>
      </c>
    </row>
    <row r="6" spans="1:4" x14ac:dyDescent="0.35">
      <c r="A6" s="25" t="s">
        <v>237</v>
      </c>
      <c r="B6">
        <v>280</v>
      </c>
      <c r="C6" s="58">
        <f t="shared" ref="C6:C10" si="0">B6/331</f>
        <v>0.84592145015105735</v>
      </c>
    </row>
    <row r="7" spans="1:4" x14ac:dyDescent="0.35">
      <c r="A7" s="25" t="s">
        <v>247</v>
      </c>
      <c r="B7">
        <v>157</v>
      </c>
      <c r="C7" s="59">
        <f t="shared" si="0"/>
        <v>0.47432024169184289</v>
      </c>
    </row>
    <row r="8" spans="1:4" x14ac:dyDescent="0.35">
      <c r="A8" s="25" t="s">
        <v>246</v>
      </c>
      <c r="B8">
        <v>138</v>
      </c>
      <c r="C8" s="59">
        <f t="shared" si="0"/>
        <v>0.41691842900302117</v>
      </c>
    </row>
    <row r="9" spans="1:4" x14ac:dyDescent="0.35">
      <c r="A9" s="25" t="s">
        <v>298</v>
      </c>
      <c r="B9">
        <v>145</v>
      </c>
      <c r="C9" s="59">
        <f t="shared" si="0"/>
        <v>0.4380664652567976</v>
      </c>
    </row>
    <row r="10" spans="1:4" x14ac:dyDescent="0.35">
      <c r="A10" s="55" t="s">
        <v>86</v>
      </c>
      <c r="B10" s="56">
        <v>72</v>
      </c>
      <c r="C10" s="63">
        <f t="shared" si="0"/>
        <v>0.2175226586102719</v>
      </c>
    </row>
    <row r="13" spans="1:4" ht="29" x14ac:dyDescent="0.35">
      <c r="A13" s="22" t="s">
        <v>19</v>
      </c>
      <c r="B13" s="23" t="s">
        <v>20</v>
      </c>
      <c r="C13" s="23" t="s">
        <v>238</v>
      </c>
      <c r="D13" s="24" t="s">
        <v>213</v>
      </c>
    </row>
    <row r="14" spans="1:4" x14ac:dyDescent="0.35">
      <c r="A14" s="25" t="s">
        <v>22</v>
      </c>
      <c r="B14" s="49">
        <v>2</v>
      </c>
      <c r="C14" s="99">
        <f t="shared" ref="C14:C19" si="1">B14/72</f>
        <v>2.7777777777777776E-2</v>
      </c>
      <c r="D14" s="100">
        <v>1.2084592145015106E-2</v>
      </c>
    </row>
    <row r="15" spans="1:4" x14ac:dyDescent="0.35">
      <c r="A15" s="25" t="s">
        <v>23</v>
      </c>
      <c r="B15" s="49">
        <v>1</v>
      </c>
      <c r="C15" s="99">
        <f t="shared" si="1"/>
        <v>1.3888888888888888E-2</v>
      </c>
      <c r="D15" s="100">
        <v>0.11178247734138973</v>
      </c>
    </row>
    <row r="16" spans="1:4" x14ac:dyDescent="0.35">
      <c r="A16" s="25" t="s">
        <v>239</v>
      </c>
      <c r="B16" s="49">
        <v>38</v>
      </c>
      <c r="C16" s="99">
        <f t="shared" si="1"/>
        <v>0.52777777777777779</v>
      </c>
      <c r="D16" s="100">
        <v>0.54380664652567978</v>
      </c>
    </row>
    <row r="17" spans="1:9" x14ac:dyDescent="0.35">
      <c r="A17" s="25" t="s">
        <v>25</v>
      </c>
      <c r="B17" s="49">
        <v>24</v>
      </c>
      <c r="C17" s="99">
        <f t="shared" si="1"/>
        <v>0.33333333333333331</v>
      </c>
      <c r="D17" s="100">
        <v>0.25981873111782477</v>
      </c>
    </row>
    <row r="18" spans="1:9" x14ac:dyDescent="0.35">
      <c r="A18" s="25" t="s">
        <v>26</v>
      </c>
      <c r="B18" s="49">
        <v>7</v>
      </c>
      <c r="C18" s="99">
        <f t="shared" si="1"/>
        <v>9.7222222222222224E-2</v>
      </c>
      <c r="D18" s="100">
        <v>6.3444108761329304E-2</v>
      </c>
      <c r="H18" s="39"/>
      <c r="I18" s="39"/>
    </row>
    <row r="19" spans="1:9" x14ac:dyDescent="0.35">
      <c r="A19" s="28" t="s">
        <v>27</v>
      </c>
      <c r="B19" s="101">
        <v>0</v>
      </c>
      <c r="C19" s="99">
        <f t="shared" si="1"/>
        <v>0</v>
      </c>
      <c r="D19" s="103">
        <v>9.0634441087613302E-3</v>
      </c>
    </row>
    <row r="20" spans="1:9" x14ac:dyDescent="0.35">
      <c r="B20" s="49"/>
      <c r="C20" s="49"/>
      <c r="D20" s="49"/>
    </row>
    <row r="21" spans="1:9" ht="29" x14ac:dyDescent="0.35">
      <c r="A21" s="22" t="s">
        <v>115</v>
      </c>
      <c r="B21" s="23" t="s">
        <v>20</v>
      </c>
      <c r="C21" s="23" t="s">
        <v>238</v>
      </c>
      <c r="D21" s="24" t="s">
        <v>213</v>
      </c>
    </row>
    <row r="22" spans="1:9" x14ac:dyDescent="0.35">
      <c r="A22" s="25" t="s">
        <v>116</v>
      </c>
      <c r="B22" s="49">
        <v>3</v>
      </c>
      <c r="C22" s="99">
        <f>B22/72</f>
        <v>4.1666666666666664E-2</v>
      </c>
      <c r="D22" s="100">
        <v>8.1081081081081086E-2</v>
      </c>
    </row>
    <row r="23" spans="1:9" x14ac:dyDescent="0.35">
      <c r="A23" s="25" t="s">
        <v>117</v>
      </c>
      <c r="B23" s="49">
        <v>7</v>
      </c>
      <c r="C23" s="99">
        <f>B23/72</f>
        <v>9.7222222222222224E-2</v>
      </c>
      <c r="D23" s="100">
        <v>9.0090090090090086E-2</v>
      </c>
    </row>
    <row r="24" spans="1:9" x14ac:dyDescent="0.35">
      <c r="A24" s="25" t="s">
        <v>118</v>
      </c>
      <c r="B24" s="49">
        <v>36</v>
      </c>
      <c r="C24" s="99">
        <f>B24/72</f>
        <v>0.5</v>
      </c>
      <c r="D24" s="100">
        <v>0.38438438438438438</v>
      </c>
    </row>
    <row r="25" spans="1:9" x14ac:dyDescent="0.35">
      <c r="A25" s="28" t="s">
        <v>119</v>
      </c>
      <c r="B25" s="101">
        <v>26</v>
      </c>
      <c r="C25" s="102">
        <f>B25/72</f>
        <v>0.3611111111111111</v>
      </c>
      <c r="D25" s="103">
        <v>0.44144144144144143</v>
      </c>
    </row>
    <row r="26" spans="1:9" x14ac:dyDescent="0.35">
      <c r="B26" s="49"/>
      <c r="C26" s="49"/>
      <c r="D26" s="49"/>
    </row>
    <row r="27" spans="1:9" ht="43.5" x14ac:dyDescent="0.35">
      <c r="A27" s="34" t="s">
        <v>145</v>
      </c>
      <c r="B27" s="23" t="s">
        <v>20</v>
      </c>
      <c r="C27" s="23" t="s">
        <v>238</v>
      </c>
      <c r="D27" s="24" t="s">
        <v>213</v>
      </c>
    </row>
    <row r="28" spans="1:9" x14ac:dyDescent="0.35">
      <c r="A28" s="25" t="s">
        <v>143</v>
      </c>
      <c r="B28" s="49">
        <v>21</v>
      </c>
      <c r="C28" s="99">
        <f>B28/72</f>
        <v>0.29166666666666669</v>
      </c>
      <c r="D28" s="100">
        <v>0.26586102719033233</v>
      </c>
    </row>
    <row r="29" spans="1:9" x14ac:dyDescent="0.35">
      <c r="A29" s="28" t="s">
        <v>144</v>
      </c>
      <c r="B29" s="101">
        <v>51</v>
      </c>
      <c r="C29" s="102">
        <f>B29/72</f>
        <v>0.70833333333333337</v>
      </c>
      <c r="D29" s="103">
        <v>0.73413897280966767</v>
      </c>
    </row>
    <row r="30" spans="1:9" x14ac:dyDescent="0.35">
      <c r="B30" s="49"/>
      <c r="C30" s="49"/>
      <c r="D30" s="49"/>
    </row>
    <row r="31" spans="1:9" ht="29" x14ac:dyDescent="0.35">
      <c r="A31" s="34" t="s">
        <v>105</v>
      </c>
      <c r="B31" s="23" t="s">
        <v>20</v>
      </c>
      <c r="C31" s="23" t="s">
        <v>238</v>
      </c>
      <c r="D31" s="24" t="s">
        <v>213</v>
      </c>
    </row>
    <row r="32" spans="1:9" x14ac:dyDescent="0.35">
      <c r="A32" s="25" t="s">
        <v>107</v>
      </c>
      <c r="B32" s="49">
        <v>7</v>
      </c>
      <c r="C32" s="99">
        <f t="shared" ref="C32:C39" si="2">B32/72</f>
        <v>9.7222222222222224E-2</v>
      </c>
      <c r="D32" s="100">
        <v>6.3444108761329304E-2</v>
      </c>
    </row>
    <row r="33" spans="1:4" x14ac:dyDescent="0.35">
      <c r="A33" s="25" t="s">
        <v>108</v>
      </c>
      <c r="B33" s="49">
        <v>5</v>
      </c>
      <c r="C33" s="99">
        <f t="shared" si="2"/>
        <v>6.9444444444444448E-2</v>
      </c>
      <c r="D33" s="100">
        <v>3.3232628398791542E-2</v>
      </c>
    </row>
    <row r="34" spans="1:4" x14ac:dyDescent="0.35">
      <c r="A34" s="25" t="s">
        <v>109</v>
      </c>
      <c r="B34" s="49">
        <v>1</v>
      </c>
      <c r="C34" s="99">
        <f t="shared" si="2"/>
        <v>1.3888888888888888E-2</v>
      </c>
      <c r="D34" s="100">
        <v>3.9274924471299093E-2</v>
      </c>
    </row>
    <row r="35" spans="1:4" x14ac:dyDescent="0.35">
      <c r="A35" s="25" t="s">
        <v>110</v>
      </c>
      <c r="B35" s="49">
        <v>6</v>
      </c>
      <c r="C35" s="99">
        <f t="shared" si="2"/>
        <v>8.3333333333333329E-2</v>
      </c>
      <c r="D35" s="100">
        <v>0.11480362537764351</v>
      </c>
    </row>
    <row r="36" spans="1:4" x14ac:dyDescent="0.35">
      <c r="A36" s="25" t="s">
        <v>111</v>
      </c>
      <c r="B36" s="49">
        <v>18</v>
      </c>
      <c r="C36" s="99">
        <f t="shared" si="2"/>
        <v>0.25</v>
      </c>
      <c r="D36" s="100">
        <v>0.18731117824773413</v>
      </c>
    </row>
    <row r="37" spans="1:4" x14ac:dyDescent="0.35">
      <c r="A37" s="25" t="s">
        <v>112</v>
      </c>
      <c r="B37" s="49">
        <v>8</v>
      </c>
      <c r="C37" s="99">
        <f t="shared" si="2"/>
        <v>0.1111111111111111</v>
      </c>
      <c r="D37" s="100">
        <v>0.10574018126888217</v>
      </c>
    </row>
    <row r="38" spans="1:4" x14ac:dyDescent="0.35">
      <c r="A38" s="25" t="s">
        <v>113</v>
      </c>
      <c r="B38" s="49">
        <v>23</v>
      </c>
      <c r="C38" s="99">
        <f t="shared" si="2"/>
        <v>0.31944444444444442</v>
      </c>
      <c r="D38" s="100">
        <v>0.39577039274924469</v>
      </c>
    </row>
    <row r="39" spans="1:4" x14ac:dyDescent="0.35">
      <c r="A39" s="28" t="s">
        <v>114</v>
      </c>
      <c r="B39" s="101">
        <v>4</v>
      </c>
      <c r="C39" s="102">
        <f t="shared" si="2"/>
        <v>5.5555555555555552E-2</v>
      </c>
      <c r="D39" s="103">
        <v>6.0422960725075532E-2</v>
      </c>
    </row>
    <row r="40" spans="1:4" x14ac:dyDescent="0.35">
      <c r="B40" s="49"/>
      <c r="C40" s="49"/>
      <c r="D40" s="49"/>
    </row>
    <row r="41" spans="1:4" ht="29" x14ac:dyDescent="0.35">
      <c r="A41" s="34" t="s">
        <v>154</v>
      </c>
      <c r="B41" s="23" t="s">
        <v>20</v>
      </c>
      <c r="C41" s="23" t="s">
        <v>238</v>
      </c>
      <c r="D41" s="24" t="s">
        <v>213</v>
      </c>
    </row>
    <row r="42" spans="1:4" x14ac:dyDescent="0.35">
      <c r="A42" s="25" t="s">
        <v>155</v>
      </c>
      <c r="B42" s="49">
        <v>40</v>
      </c>
      <c r="C42" s="99">
        <f t="shared" ref="C42:C49" si="3">B42/72</f>
        <v>0.55555555555555558</v>
      </c>
      <c r="D42" s="100">
        <v>0.66767371601208458</v>
      </c>
    </row>
    <row r="43" spans="1:4" x14ac:dyDescent="0.35">
      <c r="A43" s="25" t="s">
        <v>156</v>
      </c>
      <c r="B43" s="49">
        <v>19</v>
      </c>
      <c r="C43" s="99">
        <f t="shared" si="3"/>
        <v>0.2638888888888889</v>
      </c>
      <c r="D43" s="100">
        <v>0.25377643504531722</v>
      </c>
    </row>
    <row r="44" spans="1:4" x14ac:dyDescent="0.35">
      <c r="A44" s="25" t="s">
        <v>158</v>
      </c>
      <c r="B44" s="49">
        <v>15</v>
      </c>
      <c r="C44" s="99">
        <f t="shared" si="3"/>
        <v>0.20833333333333334</v>
      </c>
      <c r="D44" s="100">
        <v>0.14501510574018128</v>
      </c>
    </row>
    <row r="45" spans="1:4" x14ac:dyDescent="0.35">
      <c r="A45" s="25" t="s">
        <v>157</v>
      </c>
      <c r="B45" s="49">
        <v>9</v>
      </c>
      <c r="C45" s="99">
        <f t="shared" si="3"/>
        <v>0.125</v>
      </c>
      <c r="D45" s="100">
        <v>0.15105740181268881</v>
      </c>
    </row>
    <row r="46" spans="1:4" x14ac:dyDescent="0.35">
      <c r="A46" s="25" t="s">
        <v>159</v>
      </c>
      <c r="B46" s="49">
        <v>9</v>
      </c>
      <c r="C46" s="99">
        <f t="shared" si="3"/>
        <v>0.125</v>
      </c>
      <c r="D46" s="100">
        <v>0.12688821752265861</v>
      </c>
    </row>
    <row r="47" spans="1:4" x14ac:dyDescent="0.35">
      <c r="A47" s="25" t="s">
        <v>160</v>
      </c>
      <c r="B47" s="49">
        <v>9</v>
      </c>
      <c r="C47" s="99">
        <f t="shared" si="3"/>
        <v>0.125</v>
      </c>
      <c r="D47" s="100">
        <v>0.10574018126888217</v>
      </c>
    </row>
    <row r="48" spans="1:4" x14ac:dyDescent="0.35">
      <c r="A48" s="25" t="s">
        <v>161</v>
      </c>
      <c r="B48" s="49">
        <v>7</v>
      </c>
      <c r="C48" s="99">
        <f t="shared" si="3"/>
        <v>9.7222222222222224E-2</v>
      </c>
      <c r="D48" s="100">
        <v>7.8549848942598186E-2</v>
      </c>
    </row>
    <row r="49" spans="1:4" x14ac:dyDescent="0.35">
      <c r="A49" s="28" t="s">
        <v>162</v>
      </c>
      <c r="B49" s="101">
        <v>0</v>
      </c>
      <c r="C49" s="102">
        <f t="shared" si="3"/>
        <v>0</v>
      </c>
      <c r="D49" s="103">
        <v>1.2084592145015106E-2</v>
      </c>
    </row>
    <row r="50" spans="1:4" x14ac:dyDescent="0.35">
      <c r="B50" s="49"/>
      <c r="C50" s="49"/>
      <c r="D50" s="49"/>
    </row>
    <row r="51" spans="1:4" ht="43.5" x14ac:dyDescent="0.35">
      <c r="A51" s="34" t="s">
        <v>146</v>
      </c>
      <c r="B51" s="23" t="s">
        <v>20</v>
      </c>
      <c r="C51" s="23" t="s">
        <v>238</v>
      </c>
      <c r="D51" s="24" t="s">
        <v>213</v>
      </c>
    </row>
    <row r="52" spans="1:4" x14ac:dyDescent="0.35">
      <c r="A52" s="25" t="s">
        <v>147</v>
      </c>
      <c r="B52" s="49">
        <v>63</v>
      </c>
      <c r="C52" s="99">
        <f>B52/72</f>
        <v>0.875</v>
      </c>
      <c r="D52" s="100">
        <v>0.83383685800604235</v>
      </c>
    </row>
    <row r="53" spans="1:4" x14ac:dyDescent="0.35">
      <c r="A53" s="25" t="s">
        <v>148</v>
      </c>
      <c r="B53" s="49">
        <v>28</v>
      </c>
      <c r="C53" s="99">
        <f>B53/72</f>
        <v>0.3888888888888889</v>
      </c>
      <c r="D53" s="100">
        <v>0.38368580060422963</v>
      </c>
    </row>
    <row r="54" spans="1:4" x14ac:dyDescent="0.35">
      <c r="A54" s="28" t="s">
        <v>89</v>
      </c>
      <c r="B54" s="101">
        <v>6</v>
      </c>
      <c r="C54" s="102">
        <f>B54/72</f>
        <v>8.3333333333333329E-2</v>
      </c>
      <c r="D54" s="103">
        <v>0.12084592145015106</v>
      </c>
    </row>
    <row r="55" spans="1:4" x14ac:dyDescent="0.35">
      <c r="B55" s="49"/>
      <c r="C55" s="49"/>
      <c r="D55" s="49"/>
    </row>
    <row r="56" spans="1:4" ht="87" x14ac:dyDescent="0.35">
      <c r="A56" s="34" t="s">
        <v>149</v>
      </c>
      <c r="B56" s="23" t="s">
        <v>20</v>
      </c>
      <c r="C56" s="23" t="s">
        <v>238</v>
      </c>
      <c r="D56" s="24" t="s">
        <v>213</v>
      </c>
    </row>
    <row r="57" spans="1:4" x14ac:dyDescent="0.35">
      <c r="A57" s="25" t="s">
        <v>150</v>
      </c>
      <c r="B57" s="49">
        <v>31</v>
      </c>
      <c r="C57" s="99">
        <f>B57/72</f>
        <v>0.43055555555555558</v>
      </c>
      <c r="D57" s="100">
        <v>0.45015105740181272</v>
      </c>
    </row>
    <row r="58" spans="1:4" x14ac:dyDescent="0.35">
      <c r="A58" s="25" t="s">
        <v>152</v>
      </c>
      <c r="B58" s="49">
        <v>40</v>
      </c>
      <c r="C58" s="99">
        <f>B58/72</f>
        <v>0.55555555555555558</v>
      </c>
      <c r="D58" s="100">
        <v>0.52567975830815705</v>
      </c>
    </row>
    <row r="59" spans="1:4" x14ac:dyDescent="0.35">
      <c r="A59" s="25" t="s">
        <v>151</v>
      </c>
      <c r="B59" s="49">
        <v>39</v>
      </c>
      <c r="C59" s="99">
        <f>B59/72</f>
        <v>0.54166666666666663</v>
      </c>
      <c r="D59" s="100">
        <v>0.58308157099697888</v>
      </c>
    </row>
    <row r="60" spans="1:4" x14ac:dyDescent="0.35">
      <c r="A60" s="28" t="s">
        <v>153</v>
      </c>
      <c r="B60" s="101">
        <v>30</v>
      </c>
      <c r="C60" s="102">
        <f>B60/72</f>
        <v>0.41666666666666669</v>
      </c>
      <c r="D60" s="103">
        <v>0.38368580060422963</v>
      </c>
    </row>
    <row r="61" spans="1:4" x14ac:dyDescent="0.35">
      <c r="B61" s="49"/>
      <c r="C61" s="49"/>
      <c r="D61" s="49"/>
    </row>
    <row r="62" spans="1:4" ht="43.5" x14ac:dyDescent="0.35">
      <c r="A62" s="34" t="s">
        <v>163</v>
      </c>
      <c r="B62" s="23" t="s">
        <v>20</v>
      </c>
      <c r="C62" s="23" t="s">
        <v>238</v>
      </c>
      <c r="D62" s="24" t="s">
        <v>213</v>
      </c>
    </row>
    <row r="63" spans="1:4" x14ac:dyDescent="0.35">
      <c r="A63" s="25" t="s">
        <v>164</v>
      </c>
      <c r="B63" s="49">
        <v>27</v>
      </c>
      <c r="C63" s="99">
        <f t="shared" ref="C63:C76" si="4">B63/72</f>
        <v>0.375</v>
      </c>
      <c r="D63" s="100">
        <v>0.39274924471299094</v>
      </c>
    </row>
    <row r="64" spans="1:4" x14ac:dyDescent="0.35">
      <c r="A64" s="25" t="s">
        <v>165</v>
      </c>
      <c r="B64" s="49">
        <v>27</v>
      </c>
      <c r="C64" s="99">
        <f t="shared" si="4"/>
        <v>0.375</v>
      </c>
      <c r="D64" s="100">
        <v>0.38670694864048338</v>
      </c>
    </row>
    <row r="65" spans="1:4" x14ac:dyDescent="0.35">
      <c r="A65" s="25" t="s">
        <v>166</v>
      </c>
      <c r="B65" s="49">
        <v>21</v>
      </c>
      <c r="C65" s="99">
        <f t="shared" si="4"/>
        <v>0.29166666666666669</v>
      </c>
      <c r="D65" s="100">
        <v>0.23262839879154079</v>
      </c>
    </row>
    <row r="66" spans="1:4" x14ac:dyDescent="0.35">
      <c r="A66" s="25" t="s">
        <v>169</v>
      </c>
      <c r="B66" s="49">
        <v>18</v>
      </c>
      <c r="C66" s="99">
        <f t="shared" si="4"/>
        <v>0.25</v>
      </c>
      <c r="D66" s="100">
        <v>0.19637462235649547</v>
      </c>
    </row>
    <row r="67" spans="1:4" x14ac:dyDescent="0.35">
      <c r="A67" s="25" t="s">
        <v>168</v>
      </c>
      <c r="B67" s="49">
        <v>15</v>
      </c>
      <c r="C67" s="99">
        <f t="shared" si="4"/>
        <v>0.20833333333333334</v>
      </c>
      <c r="D67" s="100">
        <v>0.2175226586102719</v>
      </c>
    </row>
    <row r="68" spans="1:4" x14ac:dyDescent="0.35">
      <c r="A68" s="25" t="s">
        <v>167</v>
      </c>
      <c r="B68" s="49">
        <v>14</v>
      </c>
      <c r="C68" s="99">
        <f t="shared" si="4"/>
        <v>0.19444444444444445</v>
      </c>
      <c r="D68" s="100">
        <v>0.22658610271903323</v>
      </c>
    </row>
    <row r="69" spans="1:4" x14ac:dyDescent="0.35">
      <c r="A69" s="25" t="s">
        <v>170</v>
      </c>
      <c r="B69" s="49">
        <v>13</v>
      </c>
      <c r="C69" s="99">
        <f t="shared" si="4"/>
        <v>0.18055555555555555</v>
      </c>
      <c r="D69" s="100">
        <v>0.16314199395770393</v>
      </c>
    </row>
    <row r="70" spans="1:4" x14ac:dyDescent="0.35">
      <c r="A70" s="25" t="s">
        <v>171</v>
      </c>
      <c r="B70" s="49">
        <v>13</v>
      </c>
      <c r="C70" s="99">
        <f t="shared" si="4"/>
        <v>0.18055555555555555</v>
      </c>
      <c r="D70" s="100">
        <v>0.15105740181268881</v>
      </c>
    </row>
    <row r="71" spans="1:4" x14ac:dyDescent="0.35">
      <c r="A71" s="25" t="s">
        <v>175</v>
      </c>
      <c r="B71" s="49">
        <v>5</v>
      </c>
      <c r="C71" s="99">
        <f t="shared" si="4"/>
        <v>6.9444444444444448E-2</v>
      </c>
      <c r="D71" s="100">
        <v>1.812688821752266E-2</v>
      </c>
    </row>
    <row r="72" spans="1:4" x14ac:dyDescent="0.35">
      <c r="A72" s="25" t="s">
        <v>172</v>
      </c>
      <c r="B72" s="49">
        <v>4</v>
      </c>
      <c r="C72" s="99">
        <f t="shared" si="4"/>
        <v>5.5555555555555552E-2</v>
      </c>
      <c r="D72" s="100">
        <v>5.7401812688821753E-2</v>
      </c>
    </row>
    <row r="73" spans="1:4" x14ac:dyDescent="0.35">
      <c r="A73" s="25" t="s">
        <v>174</v>
      </c>
      <c r="B73" s="49">
        <v>3</v>
      </c>
      <c r="C73" s="99">
        <f t="shared" si="4"/>
        <v>4.1666666666666664E-2</v>
      </c>
      <c r="D73" s="100">
        <v>2.4169184290030201E-2</v>
      </c>
    </row>
    <row r="74" spans="1:4" x14ac:dyDescent="0.35">
      <c r="A74" s="25" t="s">
        <v>176</v>
      </c>
      <c r="B74" s="49">
        <v>1</v>
      </c>
      <c r="C74" s="99">
        <f t="shared" si="4"/>
        <v>1.3888888888888888E-2</v>
      </c>
      <c r="D74" s="100">
        <v>9.0634441087613302E-3</v>
      </c>
    </row>
    <row r="75" spans="1:4" x14ac:dyDescent="0.35">
      <c r="A75" s="25" t="s">
        <v>173</v>
      </c>
      <c r="B75" s="49">
        <v>0</v>
      </c>
      <c r="C75" s="99">
        <f t="shared" si="4"/>
        <v>0</v>
      </c>
      <c r="D75" s="100">
        <v>5.1359516616314202E-2</v>
      </c>
    </row>
    <row r="76" spans="1:4" x14ac:dyDescent="0.35">
      <c r="A76" s="28" t="s">
        <v>177</v>
      </c>
      <c r="B76" s="101">
        <v>0</v>
      </c>
      <c r="C76" s="102">
        <f t="shared" si="4"/>
        <v>0</v>
      </c>
      <c r="D76" s="103">
        <v>6.0422960725075529E-3</v>
      </c>
    </row>
    <row r="77" spans="1:4" x14ac:dyDescent="0.35">
      <c r="B77" s="49"/>
      <c r="C77" s="49"/>
      <c r="D77" s="49"/>
    </row>
    <row r="78" spans="1:4" ht="29" x14ac:dyDescent="0.35">
      <c r="A78" s="34" t="s">
        <v>94</v>
      </c>
      <c r="B78" s="23" t="s">
        <v>20</v>
      </c>
      <c r="C78" s="23" t="s">
        <v>238</v>
      </c>
      <c r="D78" s="24" t="s">
        <v>213</v>
      </c>
    </row>
    <row r="79" spans="1:4" x14ac:dyDescent="0.35">
      <c r="A79" s="25" t="s">
        <v>87</v>
      </c>
      <c r="B79" s="49">
        <v>12</v>
      </c>
      <c r="C79" s="99">
        <f>B79/72</f>
        <v>0.16666666666666666</v>
      </c>
      <c r="D79" s="100">
        <v>0.12386706948640483</v>
      </c>
    </row>
    <row r="80" spans="1:4" x14ac:dyDescent="0.35">
      <c r="A80" s="25" t="s">
        <v>88</v>
      </c>
      <c r="B80" s="49">
        <v>25</v>
      </c>
      <c r="C80" s="99">
        <f>B80/72</f>
        <v>0.34722222222222221</v>
      </c>
      <c r="D80" s="100">
        <v>0.25679758308157102</v>
      </c>
    </row>
    <row r="81" spans="1:4" x14ac:dyDescent="0.35">
      <c r="A81" s="25" t="s">
        <v>89</v>
      </c>
      <c r="B81" s="49">
        <v>17</v>
      </c>
      <c r="C81" s="99">
        <f>B81/72</f>
        <v>0.2361111111111111</v>
      </c>
      <c r="D81" s="100">
        <v>0.2809667673716012</v>
      </c>
    </row>
    <row r="82" spans="1:4" x14ac:dyDescent="0.35">
      <c r="A82" s="28" t="s">
        <v>90</v>
      </c>
      <c r="B82" s="101">
        <v>32</v>
      </c>
      <c r="C82" s="102">
        <f>B82/72</f>
        <v>0.44444444444444442</v>
      </c>
      <c r="D82" s="103">
        <v>0.30513595166163143</v>
      </c>
    </row>
    <row r="83" spans="1:4" x14ac:dyDescent="0.35">
      <c r="B83" s="49"/>
      <c r="C83" s="49"/>
      <c r="D83" s="49"/>
    </row>
    <row r="84" spans="1:4" ht="29" x14ac:dyDescent="0.35">
      <c r="A84" s="22" t="s">
        <v>240</v>
      </c>
      <c r="B84" s="23" t="s">
        <v>20</v>
      </c>
      <c r="C84" s="23" t="s">
        <v>21</v>
      </c>
      <c r="D84" s="24" t="s">
        <v>213</v>
      </c>
    </row>
    <row r="85" spans="1:4" x14ac:dyDescent="0.35">
      <c r="A85" s="25" t="s">
        <v>241</v>
      </c>
      <c r="B85" s="49">
        <v>14</v>
      </c>
      <c r="C85" s="99">
        <f>B85/72</f>
        <v>0.19444444444444445</v>
      </c>
      <c r="D85" s="100">
        <f>65/331</f>
        <v>0.19637462235649547</v>
      </c>
    </row>
    <row r="86" spans="1:4" x14ac:dyDescent="0.35">
      <c r="A86" s="25" t="s">
        <v>242</v>
      </c>
      <c r="B86" s="49">
        <v>47</v>
      </c>
      <c r="C86" s="99">
        <f>B86/72</f>
        <v>0.65277777777777779</v>
      </c>
      <c r="D86" s="100">
        <v>0.49546827794561932</v>
      </c>
    </row>
    <row r="87" spans="1:4" x14ac:dyDescent="0.35">
      <c r="A87" s="25" t="s">
        <v>243</v>
      </c>
      <c r="B87" s="49">
        <v>21</v>
      </c>
      <c r="C87" s="99">
        <f>B87/72</f>
        <v>0.29166666666666669</v>
      </c>
      <c r="D87" s="100">
        <v>0.27492447129909364</v>
      </c>
    </row>
    <row r="88" spans="1:4" x14ac:dyDescent="0.35">
      <c r="A88" s="25" t="s">
        <v>244</v>
      </c>
      <c r="B88" s="49">
        <v>17</v>
      </c>
      <c r="C88" s="99">
        <f>B88/72</f>
        <v>0.2361111111111111</v>
      </c>
      <c r="D88" s="100">
        <v>0.20845921450151059</v>
      </c>
    </row>
    <row r="89" spans="1:4" x14ac:dyDescent="0.35">
      <c r="A89" s="28" t="s">
        <v>245</v>
      </c>
      <c r="B89" s="101">
        <v>5</v>
      </c>
      <c r="C89" s="102">
        <f>B89/72</f>
        <v>6.9444444444444448E-2</v>
      </c>
      <c r="D89" s="103">
        <v>9.3655589123867067E-2</v>
      </c>
    </row>
    <row r="90" spans="1:4" x14ac:dyDescent="0.35">
      <c r="B90" s="49"/>
      <c r="C90" s="49"/>
      <c r="D90" s="49"/>
    </row>
  </sheetData>
  <sheetProtection algorithmName="SHA-512" hashValue="U8Ax9BQFZQPWo0YBTKlskP0QTO8NHgiPp57+bvF4TMQH0cirCHWXgNh+ea1LvdKnDNkrTz+K3buRdfWwDY9XWw==" saltValue="2IEqJvNNEQhh3wSp/MM6ag==" spinCount="100000" sheet="1" objects="1" scenarios="1"/>
  <sortState xmlns:xlrd2="http://schemas.microsoft.com/office/spreadsheetml/2017/richdata2" ref="A63:D76">
    <sortCondition descending="1" ref="B63:B76"/>
  </sortState>
  <conditionalFormatting sqref="C14:D19">
    <cfRule type="colorScale" priority="6">
      <colorScale>
        <cfvo type="min"/>
        <cfvo type="percentile" val="50"/>
        <cfvo type="max"/>
        <color rgb="FFF8696B"/>
        <color rgb="FFFFEB84"/>
        <color rgb="FF63BE7B"/>
      </colorScale>
    </cfRule>
  </conditionalFormatting>
  <conditionalFormatting sqref="C22:D25">
    <cfRule type="colorScale" priority="7">
      <colorScale>
        <cfvo type="min"/>
        <cfvo type="percentile" val="50"/>
        <cfvo type="max"/>
        <color rgb="FFF8696B"/>
        <color rgb="FFFFEB84"/>
        <color rgb="FF63BE7B"/>
      </colorScale>
    </cfRule>
  </conditionalFormatting>
  <conditionalFormatting sqref="C28:D29">
    <cfRule type="colorScale" priority="5">
      <colorScale>
        <cfvo type="min"/>
        <cfvo type="percentile" val="50"/>
        <cfvo type="max"/>
        <color rgb="FFF8696B"/>
        <color rgb="FFFFEB84"/>
        <color rgb="FF63BE7B"/>
      </colorScale>
    </cfRule>
  </conditionalFormatting>
  <conditionalFormatting sqref="C32:D39">
    <cfRule type="colorScale" priority="4">
      <colorScale>
        <cfvo type="min"/>
        <cfvo type="percentile" val="50"/>
        <cfvo type="max"/>
        <color rgb="FFF8696B"/>
        <color rgb="FFFFEB84"/>
        <color rgb="FF63BE7B"/>
      </colorScale>
    </cfRule>
  </conditionalFormatting>
  <conditionalFormatting sqref="C42:D49">
    <cfRule type="colorScale" priority="12">
      <colorScale>
        <cfvo type="min"/>
        <cfvo type="percentile" val="50"/>
        <cfvo type="max"/>
        <color rgb="FFF8696B"/>
        <color rgb="FFFFEB84"/>
        <color rgb="FF63BE7B"/>
      </colorScale>
    </cfRule>
  </conditionalFormatting>
  <conditionalFormatting sqref="C57:D60 C52:D54 C22:D25">
    <cfRule type="colorScale" priority="11">
      <colorScale>
        <cfvo type="min"/>
        <cfvo type="percentile" val="50"/>
        <cfvo type="max"/>
        <color rgb="FFF8696B"/>
        <color rgb="FFFFEB84"/>
        <color rgb="FF63BE7B"/>
      </colorScale>
    </cfRule>
  </conditionalFormatting>
  <conditionalFormatting sqref="C57:D60">
    <cfRule type="colorScale" priority="3">
      <colorScale>
        <cfvo type="min"/>
        <cfvo type="percentile" val="50"/>
        <cfvo type="max"/>
        <color rgb="FFF8696B"/>
        <color rgb="FFFFEB84"/>
        <color rgb="FF63BE7B"/>
      </colorScale>
    </cfRule>
  </conditionalFormatting>
  <conditionalFormatting sqref="C63:D76">
    <cfRule type="colorScale" priority="10">
      <colorScale>
        <cfvo type="min"/>
        <cfvo type="percentile" val="50"/>
        <cfvo type="max"/>
        <color rgb="FFF8696B"/>
        <color rgb="FFFFEB84"/>
        <color rgb="FF63BE7B"/>
      </colorScale>
    </cfRule>
  </conditionalFormatting>
  <conditionalFormatting sqref="C79:D82 C32:D39">
    <cfRule type="colorScale" priority="9">
      <colorScale>
        <cfvo type="min"/>
        <cfvo type="percentile" val="50"/>
        <cfvo type="max"/>
        <color rgb="FFF8696B"/>
        <color rgb="FFFFEB84"/>
        <color rgb="FF63BE7B"/>
      </colorScale>
    </cfRule>
  </conditionalFormatting>
  <conditionalFormatting sqref="C79:D82">
    <cfRule type="colorScale" priority="2">
      <colorScale>
        <cfvo type="min"/>
        <cfvo type="percentile" val="50"/>
        <cfvo type="max"/>
        <color rgb="FFF8696B"/>
        <color rgb="FFFFEB84"/>
        <color rgb="FF63BE7B"/>
      </colorScale>
    </cfRule>
  </conditionalFormatting>
  <conditionalFormatting sqref="C85:D89">
    <cfRule type="colorScale" priority="1">
      <colorScale>
        <cfvo type="min"/>
        <cfvo type="percentile" val="50"/>
        <cfvo type="max"/>
        <color rgb="FFF8696B"/>
        <color rgb="FFFFEB84"/>
        <color rgb="FF63BE7B"/>
      </colorScale>
    </cfRule>
  </conditionalFormatting>
  <conditionalFormatting sqref="H18:I18">
    <cfRule type="colorScale" priority="44">
      <colorScale>
        <cfvo type="min"/>
        <cfvo type="percentile" val="50"/>
        <cfvo type="max"/>
        <color rgb="FFF8696B"/>
        <color rgb="FFFFEB84"/>
        <color rgb="FF63BE7B"/>
      </colorScale>
    </cfRule>
  </conditionalFormatting>
  <hyperlinks>
    <hyperlink ref="A1" location="Contents!A1" display="Back to contents page" xr:uid="{245063F9-AC15-41DF-8CEF-8BDC77DB88C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DB03-6F56-4E38-8A11-E285CA6BB462}">
  <dimension ref="A1:D102"/>
  <sheetViews>
    <sheetView zoomScaleNormal="100" workbookViewId="0">
      <selection activeCell="D6" sqref="D6"/>
    </sheetView>
  </sheetViews>
  <sheetFormatPr defaultRowHeight="14.5" x14ac:dyDescent="0.35"/>
  <cols>
    <col min="1" max="1" width="37.81640625" customWidth="1"/>
    <col min="2" max="2" width="29.7265625" customWidth="1"/>
    <col min="3" max="3" width="27.1796875" customWidth="1"/>
    <col min="4" max="4" width="17.81640625" customWidth="1"/>
  </cols>
  <sheetData>
    <row r="1" spans="1:4" x14ac:dyDescent="0.35">
      <c r="A1" s="36" t="s">
        <v>18</v>
      </c>
    </row>
    <row r="2" spans="1:4" ht="15.5" x14ac:dyDescent="0.35">
      <c r="A2" s="50" t="s">
        <v>296</v>
      </c>
    </row>
    <row r="3" spans="1:4" x14ac:dyDescent="0.35">
      <c r="A3" s="53" t="s">
        <v>370</v>
      </c>
    </row>
    <row r="5" spans="1:4" ht="29" x14ac:dyDescent="0.35">
      <c r="A5" s="34" t="s">
        <v>248</v>
      </c>
      <c r="B5" s="37" t="s">
        <v>20</v>
      </c>
      <c r="C5" s="38" t="s">
        <v>238</v>
      </c>
    </row>
    <row r="6" spans="1:4" x14ac:dyDescent="0.35">
      <c r="A6" s="64" t="s">
        <v>55</v>
      </c>
      <c r="B6" s="46">
        <v>58</v>
      </c>
      <c r="C6" s="61">
        <f>B6/331</f>
        <v>0.17522658610271905</v>
      </c>
    </row>
    <row r="7" spans="1:4" x14ac:dyDescent="0.35">
      <c r="A7" s="25" t="s">
        <v>249</v>
      </c>
      <c r="B7">
        <v>25</v>
      </c>
      <c r="C7" s="40">
        <f>B7/331</f>
        <v>7.5528700906344406E-2</v>
      </c>
    </row>
    <row r="8" spans="1:4" x14ac:dyDescent="0.35">
      <c r="A8" s="25" t="s">
        <v>250</v>
      </c>
      <c r="B8">
        <v>19</v>
      </c>
      <c r="C8" s="40">
        <f>B8/331</f>
        <v>5.7401812688821753E-2</v>
      </c>
    </row>
    <row r="9" spans="1:4" x14ac:dyDescent="0.35">
      <c r="A9" s="25" t="s">
        <v>52</v>
      </c>
      <c r="B9">
        <v>13</v>
      </c>
      <c r="C9" s="40">
        <f>B9/331</f>
        <v>3.9274924471299093E-2</v>
      </c>
    </row>
    <row r="10" spans="1:4" x14ac:dyDescent="0.35">
      <c r="A10" s="28" t="s">
        <v>251</v>
      </c>
      <c r="B10" s="29">
        <v>6</v>
      </c>
      <c r="C10" s="41">
        <f>B10/331</f>
        <v>1.812688821752266E-2</v>
      </c>
    </row>
    <row r="13" spans="1:4" ht="29" x14ac:dyDescent="0.35">
      <c r="A13" s="22" t="s">
        <v>19</v>
      </c>
      <c r="B13" s="23" t="s">
        <v>252</v>
      </c>
      <c r="C13" s="23" t="s">
        <v>238</v>
      </c>
      <c r="D13" s="24" t="s">
        <v>213</v>
      </c>
    </row>
    <row r="14" spans="1:4" x14ac:dyDescent="0.35">
      <c r="A14" s="25" t="s">
        <v>22</v>
      </c>
      <c r="B14" s="49">
        <v>0</v>
      </c>
      <c r="C14" s="99">
        <f t="shared" ref="C14:C19" si="0">B14/58</f>
        <v>0</v>
      </c>
      <c r="D14" s="100">
        <v>1.2084592145015106E-2</v>
      </c>
    </row>
    <row r="15" spans="1:4" x14ac:dyDescent="0.35">
      <c r="A15" s="25" t="s">
        <v>23</v>
      </c>
      <c r="B15" s="49">
        <v>11</v>
      </c>
      <c r="C15" s="99">
        <f t="shared" si="0"/>
        <v>0.18965517241379309</v>
      </c>
      <c r="D15" s="100">
        <v>0.11178247734138973</v>
      </c>
    </row>
    <row r="16" spans="1:4" x14ac:dyDescent="0.35">
      <c r="A16" s="25" t="s">
        <v>239</v>
      </c>
      <c r="B16" s="49">
        <v>33</v>
      </c>
      <c r="C16" s="99">
        <f t="shared" si="0"/>
        <v>0.56896551724137934</v>
      </c>
      <c r="D16" s="100">
        <v>0.54380664652567978</v>
      </c>
    </row>
    <row r="17" spans="1:4" x14ac:dyDescent="0.35">
      <c r="A17" s="25" t="s">
        <v>25</v>
      </c>
      <c r="B17" s="49">
        <v>11</v>
      </c>
      <c r="C17" s="99">
        <f t="shared" si="0"/>
        <v>0.18965517241379309</v>
      </c>
      <c r="D17" s="100">
        <v>0.25981873111782477</v>
      </c>
    </row>
    <row r="18" spans="1:4" x14ac:dyDescent="0.35">
      <c r="A18" s="25" t="s">
        <v>26</v>
      </c>
      <c r="B18" s="49">
        <v>1</v>
      </c>
      <c r="C18" s="99">
        <f t="shared" si="0"/>
        <v>1.7241379310344827E-2</v>
      </c>
      <c r="D18" s="100">
        <v>6.3444108761329304E-2</v>
      </c>
    </row>
    <row r="19" spans="1:4" x14ac:dyDescent="0.35">
      <c r="A19" s="28" t="s">
        <v>27</v>
      </c>
      <c r="B19" s="101">
        <v>2</v>
      </c>
      <c r="C19" s="102">
        <f t="shared" si="0"/>
        <v>3.4482758620689655E-2</v>
      </c>
      <c r="D19" s="103">
        <v>9.0634441087613302E-3</v>
      </c>
    </row>
    <row r="20" spans="1:4" x14ac:dyDescent="0.35">
      <c r="B20" s="49"/>
      <c r="C20" s="49"/>
      <c r="D20" s="49"/>
    </row>
    <row r="21" spans="1:4" ht="29" x14ac:dyDescent="0.35">
      <c r="A21" s="22" t="s">
        <v>83</v>
      </c>
      <c r="B21" s="23" t="s">
        <v>20</v>
      </c>
      <c r="C21" s="23" t="s">
        <v>238</v>
      </c>
      <c r="D21" s="24" t="s">
        <v>213</v>
      </c>
    </row>
    <row r="22" spans="1:4" x14ac:dyDescent="0.35">
      <c r="A22" s="25" t="s">
        <v>82</v>
      </c>
      <c r="B22" s="49">
        <v>32</v>
      </c>
      <c r="C22" s="99">
        <f t="shared" ref="C22:C39" si="1">B22/58</f>
        <v>0.55172413793103448</v>
      </c>
      <c r="D22" s="100">
        <v>0.47432024169184289</v>
      </c>
    </row>
    <row r="23" spans="1:4" x14ac:dyDescent="0.35">
      <c r="A23" s="25" t="s">
        <v>81</v>
      </c>
      <c r="B23" s="49">
        <v>31</v>
      </c>
      <c r="C23" s="99">
        <f t="shared" si="1"/>
        <v>0.53448275862068961</v>
      </c>
      <c r="D23" s="100">
        <v>0.41691842900302117</v>
      </c>
    </row>
    <row r="24" spans="1:4" x14ac:dyDescent="0.35">
      <c r="A24" s="25" t="s">
        <v>122</v>
      </c>
      <c r="B24" s="49">
        <v>18</v>
      </c>
      <c r="C24" s="99">
        <f t="shared" si="1"/>
        <v>0.31034482758620691</v>
      </c>
      <c r="D24" s="100">
        <v>0.30211480362537763</v>
      </c>
    </row>
    <row r="25" spans="1:4" x14ac:dyDescent="0.35">
      <c r="A25" s="25" t="s">
        <v>80</v>
      </c>
      <c r="B25" s="49">
        <v>15</v>
      </c>
      <c r="C25" s="99">
        <f t="shared" si="1"/>
        <v>0.25862068965517243</v>
      </c>
      <c r="D25" s="100">
        <v>0.24471299093655588</v>
      </c>
    </row>
    <row r="26" spans="1:4" x14ac:dyDescent="0.35">
      <c r="A26" s="25" t="s">
        <v>86</v>
      </c>
      <c r="B26" s="49">
        <v>11</v>
      </c>
      <c r="C26" s="99">
        <f t="shared" si="1"/>
        <v>0.18965517241379309</v>
      </c>
      <c r="D26" s="100">
        <v>0.2175226586102719</v>
      </c>
    </row>
    <row r="27" spans="1:4" x14ac:dyDescent="0.35">
      <c r="A27" s="25" t="s">
        <v>123</v>
      </c>
      <c r="B27" s="49">
        <v>10</v>
      </c>
      <c r="C27" s="99">
        <f t="shared" si="1"/>
        <v>0.17241379310344829</v>
      </c>
      <c r="D27" s="100">
        <v>0.17522658610271905</v>
      </c>
    </row>
    <row r="28" spans="1:4" x14ac:dyDescent="0.35">
      <c r="A28" s="25" t="s">
        <v>79</v>
      </c>
      <c r="B28" s="49">
        <v>9</v>
      </c>
      <c r="C28" s="99">
        <f t="shared" si="1"/>
        <v>0.15517241379310345</v>
      </c>
      <c r="D28" s="100">
        <v>0.15709969788519637</v>
      </c>
    </row>
    <row r="29" spans="1:4" x14ac:dyDescent="0.35">
      <c r="A29" s="25" t="s">
        <v>125</v>
      </c>
      <c r="B29" s="49">
        <v>8</v>
      </c>
      <c r="C29" s="99">
        <f t="shared" si="1"/>
        <v>0.13793103448275862</v>
      </c>
      <c r="D29" s="100">
        <v>8.1570996978851965E-2</v>
      </c>
    </row>
    <row r="30" spans="1:4" x14ac:dyDescent="0.35">
      <c r="A30" s="25" t="s">
        <v>77</v>
      </c>
      <c r="B30" s="49">
        <v>5</v>
      </c>
      <c r="C30" s="99">
        <f t="shared" si="1"/>
        <v>8.6206896551724144E-2</v>
      </c>
      <c r="D30" s="100">
        <v>7.5528700906344406E-2</v>
      </c>
    </row>
    <row r="31" spans="1:4" x14ac:dyDescent="0.35">
      <c r="A31" s="25" t="s">
        <v>78</v>
      </c>
      <c r="B31" s="49">
        <v>4</v>
      </c>
      <c r="C31" s="99">
        <f t="shared" si="1"/>
        <v>6.8965517241379309E-2</v>
      </c>
      <c r="D31" s="100">
        <v>8.4592145015105744E-2</v>
      </c>
    </row>
    <row r="32" spans="1:4" x14ac:dyDescent="0.35">
      <c r="A32" s="25" t="s">
        <v>124</v>
      </c>
      <c r="B32" s="49">
        <v>4</v>
      </c>
      <c r="C32" s="99">
        <f t="shared" si="1"/>
        <v>6.8965517241379309E-2</v>
      </c>
      <c r="D32" s="100">
        <v>0.14803625377643503</v>
      </c>
    </row>
    <row r="33" spans="1:4" x14ac:dyDescent="0.35">
      <c r="A33" s="25" t="s">
        <v>76</v>
      </c>
      <c r="B33" s="49">
        <v>2</v>
      </c>
      <c r="C33" s="99">
        <f t="shared" si="1"/>
        <v>3.4482758620689655E-2</v>
      </c>
      <c r="D33" s="100">
        <f>3/331</f>
        <v>9.0634441087613302E-3</v>
      </c>
    </row>
    <row r="34" spans="1:4" x14ac:dyDescent="0.35">
      <c r="A34" s="25" t="s">
        <v>127</v>
      </c>
      <c r="B34" s="49">
        <v>2</v>
      </c>
      <c r="C34" s="99">
        <f t="shared" si="1"/>
        <v>3.4482758620689655E-2</v>
      </c>
      <c r="D34" s="100">
        <v>3.0211480362537766E-2</v>
      </c>
    </row>
    <row r="35" spans="1:4" x14ac:dyDescent="0.35">
      <c r="A35" s="25" t="s">
        <v>73</v>
      </c>
      <c r="B35" s="49">
        <v>1</v>
      </c>
      <c r="C35" s="99">
        <f t="shared" si="1"/>
        <v>1.7241379310344827E-2</v>
      </c>
      <c r="D35" s="100">
        <f>2/331</f>
        <v>6.0422960725075529E-3</v>
      </c>
    </row>
    <row r="36" spans="1:4" x14ac:dyDescent="0.35">
      <c r="A36" s="25" t="s">
        <v>75</v>
      </c>
      <c r="B36" s="49">
        <v>1</v>
      </c>
      <c r="C36" s="99">
        <f t="shared" si="1"/>
        <v>1.7241379310344827E-2</v>
      </c>
      <c r="D36" s="100">
        <f>2/331</f>
        <v>6.0422960725075529E-3</v>
      </c>
    </row>
    <row r="37" spans="1:4" x14ac:dyDescent="0.35">
      <c r="A37" s="25" t="s">
        <v>74</v>
      </c>
      <c r="B37" s="49">
        <v>1</v>
      </c>
      <c r="C37" s="99">
        <f t="shared" si="1"/>
        <v>1.7241379310344827E-2</v>
      </c>
      <c r="D37" s="100">
        <v>6.0422960725075529E-3</v>
      </c>
    </row>
    <row r="38" spans="1:4" x14ac:dyDescent="0.35">
      <c r="A38" s="25" t="s">
        <v>126</v>
      </c>
      <c r="B38" s="49">
        <v>1</v>
      </c>
      <c r="C38" s="99">
        <f t="shared" si="1"/>
        <v>1.7241379310344827E-2</v>
      </c>
      <c r="D38" s="100">
        <v>6.6465256797583083E-2</v>
      </c>
    </row>
    <row r="39" spans="1:4" x14ac:dyDescent="0.35">
      <c r="A39" s="28" t="s">
        <v>128</v>
      </c>
      <c r="B39" s="101">
        <v>0</v>
      </c>
      <c r="C39" s="102">
        <f t="shared" si="1"/>
        <v>0</v>
      </c>
      <c r="D39" s="103">
        <v>1.2084592145015106E-2</v>
      </c>
    </row>
    <row r="40" spans="1:4" x14ac:dyDescent="0.35">
      <c r="B40" s="49"/>
      <c r="C40" s="49"/>
      <c r="D40" s="49"/>
    </row>
    <row r="41" spans="1:4" ht="29" x14ac:dyDescent="0.35">
      <c r="A41" s="34" t="s">
        <v>115</v>
      </c>
      <c r="B41" s="23" t="s">
        <v>20</v>
      </c>
      <c r="C41" s="23" t="s">
        <v>238</v>
      </c>
      <c r="D41" s="24" t="s">
        <v>213</v>
      </c>
    </row>
    <row r="42" spans="1:4" x14ac:dyDescent="0.35">
      <c r="A42" s="25" t="s">
        <v>116</v>
      </c>
      <c r="B42" s="49">
        <v>6</v>
      </c>
      <c r="C42" s="99">
        <f>B42/58</f>
        <v>0.10344827586206896</v>
      </c>
      <c r="D42" s="100">
        <v>8.1081081081081086E-2</v>
      </c>
    </row>
    <row r="43" spans="1:4" x14ac:dyDescent="0.35">
      <c r="A43" s="25" t="s">
        <v>117</v>
      </c>
      <c r="B43" s="49">
        <v>4</v>
      </c>
      <c r="C43" s="99">
        <f>B43/58</f>
        <v>6.8965517241379309E-2</v>
      </c>
      <c r="D43" s="100">
        <v>9.0090090090090086E-2</v>
      </c>
    </row>
    <row r="44" spans="1:4" x14ac:dyDescent="0.35">
      <c r="A44" s="25" t="s">
        <v>118</v>
      </c>
      <c r="B44" s="49">
        <v>19</v>
      </c>
      <c r="C44" s="99">
        <f>B44/58</f>
        <v>0.32758620689655171</v>
      </c>
      <c r="D44" s="100">
        <v>0.38438438438438438</v>
      </c>
    </row>
    <row r="45" spans="1:4" x14ac:dyDescent="0.35">
      <c r="A45" s="28" t="s">
        <v>119</v>
      </c>
      <c r="B45" s="101">
        <v>29</v>
      </c>
      <c r="C45" s="102">
        <f>B45/58</f>
        <v>0.5</v>
      </c>
      <c r="D45" s="103">
        <v>0.44144144144144143</v>
      </c>
    </row>
    <row r="46" spans="1:4" x14ac:dyDescent="0.35">
      <c r="B46" s="49"/>
      <c r="C46" s="49"/>
      <c r="D46" s="49"/>
    </row>
    <row r="47" spans="1:4" ht="43.5" x14ac:dyDescent="0.35">
      <c r="A47" s="34" t="s">
        <v>145</v>
      </c>
      <c r="B47" s="23" t="s">
        <v>20</v>
      </c>
      <c r="C47" s="23" t="s">
        <v>238</v>
      </c>
      <c r="D47" s="24" t="s">
        <v>213</v>
      </c>
    </row>
    <row r="48" spans="1:4" x14ac:dyDescent="0.35">
      <c r="A48" s="25" t="s">
        <v>143</v>
      </c>
      <c r="B48" s="49">
        <v>13</v>
      </c>
      <c r="C48" s="99">
        <f>B48/58</f>
        <v>0.22413793103448276</v>
      </c>
      <c r="D48" s="100">
        <v>0.26586102719033233</v>
      </c>
    </row>
    <row r="49" spans="1:4" x14ac:dyDescent="0.35">
      <c r="A49" s="28" t="s">
        <v>144</v>
      </c>
      <c r="B49" s="101">
        <v>45</v>
      </c>
      <c r="C49" s="102">
        <f>B49/58</f>
        <v>0.77586206896551724</v>
      </c>
      <c r="D49" s="103">
        <v>0.73413897280966767</v>
      </c>
    </row>
    <row r="50" spans="1:4" x14ac:dyDescent="0.35">
      <c r="B50" s="49"/>
      <c r="C50" s="49"/>
      <c r="D50" s="49"/>
    </row>
    <row r="51" spans="1:4" ht="29" x14ac:dyDescent="0.35">
      <c r="A51" s="34" t="s">
        <v>105</v>
      </c>
      <c r="B51" s="23" t="s">
        <v>20</v>
      </c>
      <c r="C51" s="23" t="s">
        <v>238</v>
      </c>
      <c r="D51" s="24" t="s">
        <v>213</v>
      </c>
    </row>
    <row r="52" spans="1:4" x14ac:dyDescent="0.35">
      <c r="A52" s="25" t="s">
        <v>107</v>
      </c>
      <c r="B52" s="49">
        <v>2</v>
      </c>
      <c r="C52" s="99">
        <f>B52/58</f>
        <v>3.4482758620689655E-2</v>
      </c>
      <c r="D52" s="100">
        <v>6.3444108761329304E-2</v>
      </c>
    </row>
    <row r="53" spans="1:4" x14ac:dyDescent="0.35">
      <c r="A53" s="25" t="s">
        <v>108</v>
      </c>
      <c r="B53" s="49">
        <v>1</v>
      </c>
      <c r="C53" s="99">
        <f t="shared" ref="C53:C59" si="2">B53/58</f>
        <v>1.7241379310344827E-2</v>
      </c>
      <c r="D53" s="100">
        <v>3.3232628398791542E-2</v>
      </c>
    </row>
    <row r="54" spans="1:4" x14ac:dyDescent="0.35">
      <c r="A54" s="25" t="s">
        <v>109</v>
      </c>
      <c r="B54" s="49">
        <v>2</v>
      </c>
      <c r="C54" s="99">
        <f t="shared" si="2"/>
        <v>3.4482758620689655E-2</v>
      </c>
      <c r="D54" s="100">
        <v>3.9274924471299093E-2</v>
      </c>
    </row>
    <row r="55" spans="1:4" x14ac:dyDescent="0.35">
      <c r="A55" s="25" t="s">
        <v>110</v>
      </c>
      <c r="B55" s="49">
        <v>7</v>
      </c>
      <c r="C55" s="99">
        <f t="shared" si="2"/>
        <v>0.1206896551724138</v>
      </c>
      <c r="D55" s="100">
        <v>0.11480362537764351</v>
      </c>
    </row>
    <row r="56" spans="1:4" x14ac:dyDescent="0.35">
      <c r="A56" s="25" t="s">
        <v>111</v>
      </c>
      <c r="B56" s="49">
        <v>12</v>
      </c>
      <c r="C56" s="99">
        <f t="shared" si="2"/>
        <v>0.20689655172413793</v>
      </c>
      <c r="D56" s="100">
        <v>0.18731117824773413</v>
      </c>
    </row>
    <row r="57" spans="1:4" x14ac:dyDescent="0.35">
      <c r="A57" s="25" t="s">
        <v>112</v>
      </c>
      <c r="B57" s="49">
        <v>3</v>
      </c>
      <c r="C57" s="99">
        <f t="shared" si="2"/>
        <v>5.1724137931034482E-2</v>
      </c>
      <c r="D57" s="100">
        <v>0.10574018126888217</v>
      </c>
    </row>
    <row r="58" spans="1:4" x14ac:dyDescent="0.35">
      <c r="A58" s="25" t="s">
        <v>113</v>
      </c>
      <c r="B58" s="49">
        <v>29</v>
      </c>
      <c r="C58" s="99">
        <f t="shared" si="2"/>
        <v>0.5</v>
      </c>
      <c r="D58" s="100">
        <v>0.39577039274924469</v>
      </c>
    </row>
    <row r="59" spans="1:4" x14ac:dyDescent="0.35">
      <c r="A59" s="28" t="s">
        <v>114</v>
      </c>
      <c r="B59" s="101">
        <v>1</v>
      </c>
      <c r="C59" s="102">
        <f t="shared" si="2"/>
        <v>1.7241379310344827E-2</v>
      </c>
      <c r="D59" s="103">
        <v>6.0422960725075532E-2</v>
      </c>
    </row>
    <row r="60" spans="1:4" x14ac:dyDescent="0.35">
      <c r="B60" s="49"/>
      <c r="C60" s="49"/>
      <c r="D60" s="49"/>
    </row>
    <row r="61" spans="1:4" ht="29" x14ac:dyDescent="0.35">
      <c r="A61" s="34" t="s">
        <v>154</v>
      </c>
      <c r="B61" s="23" t="s">
        <v>20</v>
      </c>
      <c r="C61" s="23" t="s">
        <v>238</v>
      </c>
      <c r="D61" s="24" t="s">
        <v>213</v>
      </c>
    </row>
    <row r="62" spans="1:4" x14ac:dyDescent="0.35">
      <c r="A62" s="25" t="s">
        <v>155</v>
      </c>
      <c r="B62" s="49">
        <v>40</v>
      </c>
      <c r="C62" s="99">
        <f t="shared" ref="C62:C69" si="3">B62/58</f>
        <v>0.68965517241379315</v>
      </c>
      <c r="D62" s="100">
        <v>0.66767371601208458</v>
      </c>
    </row>
    <row r="63" spans="1:4" x14ac:dyDescent="0.35">
      <c r="A63" s="25" t="s">
        <v>157</v>
      </c>
      <c r="B63" s="49">
        <v>13</v>
      </c>
      <c r="C63" s="99">
        <f t="shared" si="3"/>
        <v>0.22413793103448276</v>
      </c>
      <c r="D63" s="100">
        <v>0.15105740181268881</v>
      </c>
    </row>
    <row r="64" spans="1:4" x14ac:dyDescent="0.35">
      <c r="A64" s="25" t="s">
        <v>156</v>
      </c>
      <c r="B64" s="49">
        <v>12</v>
      </c>
      <c r="C64" s="99">
        <f t="shared" si="3"/>
        <v>0.20689655172413793</v>
      </c>
      <c r="D64" s="100">
        <v>0.25377643504531722</v>
      </c>
    </row>
    <row r="65" spans="1:4" x14ac:dyDescent="0.35">
      <c r="A65" s="25" t="s">
        <v>159</v>
      </c>
      <c r="B65" s="49">
        <v>9</v>
      </c>
      <c r="C65" s="99">
        <f t="shared" si="3"/>
        <v>0.15517241379310345</v>
      </c>
      <c r="D65" s="100">
        <v>0.12688821752265861</v>
      </c>
    </row>
    <row r="66" spans="1:4" x14ac:dyDescent="0.35">
      <c r="A66" s="25" t="s">
        <v>160</v>
      </c>
      <c r="B66" s="49">
        <v>8</v>
      </c>
      <c r="C66" s="99">
        <f t="shared" si="3"/>
        <v>0.13793103448275862</v>
      </c>
      <c r="D66" s="100">
        <v>0.10574018126888217</v>
      </c>
    </row>
    <row r="67" spans="1:4" x14ac:dyDescent="0.35">
      <c r="A67" s="25" t="s">
        <v>161</v>
      </c>
      <c r="B67" s="49">
        <v>8</v>
      </c>
      <c r="C67" s="99">
        <f t="shared" si="3"/>
        <v>0.13793103448275862</v>
      </c>
      <c r="D67" s="100">
        <v>7.8549848942598186E-2</v>
      </c>
    </row>
    <row r="68" spans="1:4" x14ac:dyDescent="0.35">
      <c r="A68" s="25" t="s">
        <v>158</v>
      </c>
      <c r="B68" s="49">
        <v>3</v>
      </c>
      <c r="C68" s="99">
        <f t="shared" si="3"/>
        <v>5.1724137931034482E-2</v>
      </c>
      <c r="D68" s="100">
        <v>0.14501510574018128</v>
      </c>
    </row>
    <row r="69" spans="1:4" x14ac:dyDescent="0.35">
      <c r="A69" s="28" t="s">
        <v>162</v>
      </c>
      <c r="B69" s="101">
        <v>1</v>
      </c>
      <c r="C69" s="102">
        <f t="shared" si="3"/>
        <v>1.7241379310344827E-2</v>
      </c>
      <c r="D69" s="103">
        <v>1.2084592145015106E-2</v>
      </c>
    </row>
    <row r="70" spans="1:4" x14ac:dyDescent="0.35">
      <c r="B70" s="49"/>
      <c r="C70" s="49"/>
      <c r="D70" s="49"/>
    </row>
    <row r="71" spans="1:4" ht="43.5" x14ac:dyDescent="0.35">
      <c r="A71" s="34" t="s">
        <v>146</v>
      </c>
      <c r="B71" s="23" t="s">
        <v>20</v>
      </c>
      <c r="C71" s="23" t="s">
        <v>238</v>
      </c>
      <c r="D71" s="24" t="s">
        <v>213</v>
      </c>
    </row>
    <row r="72" spans="1:4" x14ac:dyDescent="0.35">
      <c r="A72" s="25" t="s">
        <v>147</v>
      </c>
      <c r="B72" s="49">
        <v>48</v>
      </c>
      <c r="C72" s="99">
        <f>B72/58</f>
        <v>0.82758620689655171</v>
      </c>
      <c r="D72" s="100">
        <v>0.83383685800604235</v>
      </c>
    </row>
    <row r="73" spans="1:4" x14ac:dyDescent="0.35">
      <c r="A73" s="25" t="s">
        <v>148</v>
      </c>
      <c r="B73" s="49">
        <v>29</v>
      </c>
      <c r="C73" s="99">
        <f>B73/58</f>
        <v>0.5</v>
      </c>
      <c r="D73" s="100">
        <v>0.38368580060422963</v>
      </c>
    </row>
    <row r="74" spans="1:4" x14ac:dyDescent="0.35">
      <c r="A74" s="28" t="s">
        <v>89</v>
      </c>
      <c r="B74" s="101">
        <v>6</v>
      </c>
      <c r="C74" s="102">
        <f>B74/58</f>
        <v>0.10344827586206896</v>
      </c>
      <c r="D74" s="103">
        <v>0.12084592145015106</v>
      </c>
    </row>
    <row r="75" spans="1:4" x14ac:dyDescent="0.35">
      <c r="B75" s="49"/>
      <c r="C75" s="49"/>
      <c r="D75" s="49"/>
    </row>
    <row r="76" spans="1:4" ht="87" x14ac:dyDescent="0.35">
      <c r="A76" s="34" t="s">
        <v>149</v>
      </c>
      <c r="B76" s="23" t="s">
        <v>20</v>
      </c>
      <c r="C76" s="23" t="s">
        <v>238</v>
      </c>
      <c r="D76" s="24" t="s">
        <v>213</v>
      </c>
    </row>
    <row r="77" spans="1:4" x14ac:dyDescent="0.35">
      <c r="A77" s="25" t="s">
        <v>150</v>
      </c>
      <c r="B77" s="49">
        <v>32</v>
      </c>
      <c r="C77" s="99">
        <f>B77/58</f>
        <v>0.55172413793103448</v>
      </c>
      <c r="D77" s="100">
        <v>0.45015105740181272</v>
      </c>
    </row>
    <row r="78" spans="1:4" x14ac:dyDescent="0.35">
      <c r="A78" s="25" t="s">
        <v>152</v>
      </c>
      <c r="B78" s="49">
        <v>24</v>
      </c>
      <c r="C78" s="99">
        <f>B78/58</f>
        <v>0.41379310344827586</v>
      </c>
      <c r="D78" s="100">
        <v>0.52567975830815705</v>
      </c>
    </row>
    <row r="79" spans="1:4" x14ac:dyDescent="0.35">
      <c r="A79" s="25" t="s">
        <v>151</v>
      </c>
      <c r="B79" s="49">
        <v>37</v>
      </c>
      <c r="C79" s="99">
        <f>B79/58</f>
        <v>0.63793103448275867</v>
      </c>
      <c r="D79" s="100">
        <v>0.58308157099697888</v>
      </c>
    </row>
    <row r="80" spans="1:4" x14ac:dyDescent="0.35">
      <c r="A80" s="28" t="s">
        <v>153</v>
      </c>
      <c r="B80" s="101">
        <v>19</v>
      </c>
      <c r="C80" s="102">
        <f>B80/58</f>
        <v>0.32758620689655171</v>
      </c>
      <c r="D80" s="103">
        <v>0.38368580060422963</v>
      </c>
    </row>
    <row r="81" spans="1:4" x14ac:dyDescent="0.35">
      <c r="B81" s="49"/>
      <c r="C81" s="49"/>
      <c r="D81" s="49"/>
    </row>
    <row r="82" spans="1:4" ht="43.5" x14ac:dyDescent="0.35">
      <c r="A82" s="34" t="s">
        <v>163</v>
      </c>
      <c r="B82" s="23" t="s">
        <v>20</v>
      </c>
      <c r="C82" s="23" t="s">
        <v>238</v>
      </c>
      <c r="D82" s="24" t="s">
        <v>213</v>
      </c>
    </row>
    <row r="83" spans="1:4" x14ac:dyDescent="0.35">
      <c r="A83" s="25" t="s">
        <v>165</v>
      </c>
      <c r="B83" s="49">
        <v>28</v>
      </c>
      <c r="C83" s="99">
        <f t="shared" ref="C83:C96" si="4">B83/58</f>
        <v>0.48275862068965519</v>
      </c>
      <c r="D83" s="100">
        <v>0.38670694864048338</v>
      </c>
    </row>
    <row r="84" spans="1:4" x14ac:dyDescent="0.35">
      <c r="A84" s="25" t="s">
        <v>164</v>
      </c>
      <c r="B84" s="49">
        <v>23</v>
      </c>
      <c r="C84" s="99">
        <f t="shared" si="4"/>
        <v>0.39655172413793105</v>
      </c>
      <c r="D84" s="100">
        <v>0.39274924471299094</v>
      </c>
    </row>
    <row r="85" spans="1:4" x14ac:dyDescent="0.35">
      <c r="A85" s="25" t="s">
        <v>167</v>
      </c>
      <c r="B85" s="49">
        <v>17</v>
      </c>
      <c r="C85" s="99">
        <f t="shared" si="4"/>
        <v>0.29310344827586204</v>
      </c>
      <c r="D85" s="100">
        <v>0.22658610271903323</v>
      </c>
    </row>
    <row r="86" spans="1:4" x14ac:dyDescent="0.35">
      <c r="A86" s="25" t="s">
        <v>168</v>
      </c>
      <c r="B86" s="49">
        <v>16</v>
      </c>
      <c r="C86" s="99">
        <f t="shared" si="4"/>
        <v>0.27586206896551724</v>
      </c>
      <c r="D86" s="100">
        <v>0.2175226586102719</v>
      </c>
    </row>
    <row r="87" spans="1:4" x14ac:dyDescent="0.35">
      <c r="A87" s="25" t="s">
        <v>169</v>
      </c>
      <c r="B87" s="49">
        <v>14</v>
      </c>
      <c r="C87" s="99">
        <f t="shared" si="4"/>
        <v>0.2413793103448276</v>
      </c>
      <c r="D87" s="100">
        <v>0.19637462235649547</v>
      </c>
    </row>
    <row r="88" spans="1:4" x14ac:dyDescent="0.35">
      <c r="A88" s="25" t="s">
        <v>166</v>
      </c>
      <c r="B88" s="49">
        <v>12</v>
      </c>
      <c r="C88" s="99">
        <f t="shared" si="4"/>
        <v>0.20689655172413793</v>
      </c>
      <c r="D88" s="100">
        <v>0.23262839879154079</v>
      </c>
    </row>
    <row r="89" spans="1:4" x14ac:dyDescent="0.35">
      <c r="A89" s="25" t="s">
        <v>171</v>
      </c>
      <c r="B89" s="49">
        <v>12</v>
      </c>
      <c r="C89" s="99">
        <f t="shared" si="4"/>
        <v>0.20689655172413793</v>
      </c>
      <c r="D89" s="100">
        <v>0.15105740181268881</v>
      </c>
    </row>
    <row r="90" spans="1:4" x14ac:dyDescent="0.35">
      <c r="A90" s="25" t="s">
        <v>170</v>
      </c>
      <c r="B90" s="49">
        <v>11</v>
      </c>
      <c r="C90" s="99">
        <f t="shared" si="4"/>
        <v>0.18965517241379309</v>
      </c>
      <c r="D90" s="100">
        <v>0.16314199395770393</v>
      </c>
    </row>
    <row r="91" spans="1:4" x14ac:dyDescent="0.35">
      <c r="A91" s="25" t="s">
        <v>172</v>
      </c>
      <c r="B91" s="49">
        <v>6</v>
      </c>
      <c r="C91" s="99">
        <f t="shared" si="4"/>
        <v>0.10344827586206896</v>
      </c>
      <c r="D91" s="100">
        <v>5.7401812688821753E-2</v>
      </c>
    </row>
    <row r="92" spans="1:4" x14ac:dyDescent="0.35">
      <c r="A92" s="25" t="s">
        <v>174</v>
      </c>
      <c r="B92" s="49">
        <v>2</v>
      </c>
      <c r="C92" s="99">
        <f t="shared" si="4"/>
        <v>3.4482758620689655E-2</v>
      </c>
      <c r="D92" s="100">
        <v>2.4169184290030211E-2</v>
      </c>
    </row>
    <row r="93" spans="1:4" x14ac:dyDescent="0.35">
      <c r="A93" s="25" t="s">
        <v>173</v>
      </c>
      <c r="B93" s="49">
        <v>1</v>
      </c>
      <c r="C93" s="99">
        <f t="shared" si="4"/>
        <v>1.7241379310344827E-2</v>
      </c>
      <c r="D93" s="100">
        <v>5.1359516616314202E-2</v>
      </c>
    </row>
    <row r="94" spans="1:4" x14ac:dyDescent="0.35">
      <c r="A94" s="25" t="s">
        <v>175</v>
      </c>
      <c r="B94" s="49">
        <v>0</v>
      </c>
      <c r="C94" s="99">
        <f t="shared" si="4"/>
        <v>0</v>
      </c>
      <c r="D94" s="100">
        <v>1.812688821752266E-2</v>
      </c>
    </row>
    <row r="95" spans="1:4" x14ac:dyDescent="0.35">
      <c r="A95" s="25" t="s">
        <v>176</v>
      </c>
      <c r="B95" s="49">
        <v>0</v>
      </c>
      <c r="C95" s="99">
        <f t="shared" si="4"/>
        <v>0</v>
      </c>
      <c r="D95" s="100">
        <v>9.0634441087613302E-3</v>
      </c>
    </row>
    <row r="96" spans="1:4" x14ac:dyDescent="0.35">
      <c r="A96" s="28" t="s">
        <v>177</v>
      </c>
      <c r="B96" s="101">
        <v>0</v>
      </c>
      <c r="C96" s="102">
        <f t="shared" si="4"/>
        <v>0</v>
      </c>
      <c r="D96" s="103">
        <v>6.0422960725075529E-3</v>
      </c>
    </row>
    <row r="97" spans="1:4" x14ac:dyDescent="0.35">
      <c r="B97" s="49"/>
      <c r="C97" s="49"/>
      <c r="D97" s="49"/>
    </row>
    <row r="98" spans="1:4" ht="29" x14ac:dyDescent="0.35">
      <c r="A98" s="34" t="s">
        <v>94</v>
      </c>
      <c r="B98" s="23" t="s">
        <v>20</v>
      </c>
      <c r="C98" s="23" t="s">
        <v>238</v>
      </c>
      <c r="D98" s="24" t="s">
        <v>213</v>
      </c>
    </row>
    <row r="99" spans="1:4" x14ac:dyDescent="0.35">
      <c r="A99" s="25" t="s">
        <v>87</v>
      </c>
      <c r="B99" s="49">
        <v>7</v>
      </c>
      <c r="C99" s="99">
        <f>B99/58</f>
        <v>0.1206896551724138</v>
      </c>
      <c r="D99" s="100">
        <v>0.12386706948640483</v>
      </c>
    </row>
    <row r="100" spans="1:4" x14ac:dyDescent="0.35">
      <c r="A100" s="25" t="s">
        <v>88</v>
      </c>
      <c r="B100" s="49">
        <v>15</v>
      </c>
      <c r="C100" s="99">
        <f t="shared" ref="C100:C102" si="5">B100/58</f>
        <v>0.25862068965517243</v>
      </c>
      <c r="D100" s="100">
        <v>0.25679758308157102</v>
      </c>
    </row>
    <row r="101" spans="1:4" x14ac:dyDescent="0.35">
      <c r="A101" s="25" t="s">
        <v>89</v>
      </c>
      <c r="B101" s="49">
        <v>14</v>
      </c>
      <c r="C101" s="99">
        <f t="shared" si="5"/>
        <v>0.2413793103448276</v>
      </c>
      <c r="D101" s="100">
        <v>0.2809667673716012</v>
      </c>
    </row>
    <row r="102" spans="1:4" x14ac:dyDescent="0.35">
      <c r="A102" s="28" t="s">
        <v>90</v>
      </c>
      <c r="B102" s="101">
        <v>18</v>
      </c>
      <c r="C102" s="102">
        <f t="shared" si="5"/>
        <v>0.31034482758620691</v>
      </c>
      <c r="D102" s="103">
        <v>0.30513595166163143</v>
      </c>
    </row>
  </sheetData>
  <sheetProtection algorithmName="SHA-512" hashValue="4jGI/EG8DSJRIml8q8uI6wqhAUj6H6YkWRWAhxVJTjh0aXHej1oz8FypyqbRdyETaoEBV8+YUshePv24NTp1qw==" saltValue="H4ScUDOWcGOM0UJJ2ljo7Q==" spinCount="100000" sheet="1" objects="1" scenarios="1"/>
  <sortState xmlns:xlrd2="http://schemas.microsoft.com/office/spreadsheetml/2017/richdata2" ref="A83:D96">
    <sortCondition descending="1" ref="B83:B96"/>
  </sortState>
  <conditionalFormatting sqref="C14:D19">
    <cfRule type="colorScale" priority="10">
      <colorScale>
        <cfvo type="min"/>
        <cfvo type="percentile" val="50"/>
        <cfvo type="max"/>
        <color rgb="FFF8696B"/>
        <color rgb="FFFFEB84"/>
        <color rgb="FF63BE7B"/>
      </colorScale>
    </cfRule>
  </conditionalFormatting>
  <conditionalFormatting sqref="C22:D39">
    <cfRule type="colorScale" priority="8">
      <colorScale>
        <cfvo type="min"/>
        <cfvo type="percentile" val="50"/>
        <cfvo type="max"/>
        <color rgb="FFF8696B"/>
        <color rgb="FFFFEB84"/>
        <color rgb="FF63BE7B"/>
      </colorScale>
    </cfRule>
  </conditionalFormatting>
  <conditionalFormatting sqref="C42:D45">
    <cfRule type="colorScale" priority="4">
      <colorScale>
        <cfvo type="min"/>
        <cfvo type="percentile" val="50"/>
        <cfvo type="max"/>
        <color rgb="FFF8696B"/>
        <color rgb="FFFFEB84"/>
        <color rgb="FF63BE7B"/>
      </colorScale>
    </cfRule>
  </conditionalFormatting>
  <conditionalFormatting sqref="C52:D59 C99:D102">
    <cfRule type="colorScale" priority="5">
      <colorScale>
        <cfvo type="min"/>
        <cfvo type="percentile" val="50"/>
        <cfvo type="max"/>
        <color rgb="FFF8696B"/>
        <color rgb="FFFFEB84"/>
        <color rgb="FF63BE7B"/>
      </colorScale>
    </cfRule>
  </conditionalFormatting>
  <conditionalFormatting sqref="C52:D59">
    <cfRule type="colorScale" priority="3">
      <colorScale>
        <cfvo type="min"/>
        <cfvo type="percentile" val="50"/>
        <cfvo type="max"/>
        <color rgb="FFF8696B"/>
        <color rgb="FFFFEB84"/>
        <color rgb="FF63BE7B"/>
      </colorScale>
    </cfRule>
  </conditionalFormatting>
  <conditionalFormatting sqref="C62:D69">
    <cfRule type="colorScale" priority="9">
      <colorScale>
        <cfvo type="min"/>
        <cfvo type="percentile" val="50"/>
        <cfvo type="max"/>
        <color rgb="FFF8696B"/>
        <color rgb="FFFFEB84"/>
        <color rgb="FF63BE7B"/>
      </colorScale>
    </cfRule>
  </conditionalFormatting>
  <conditionalFormatting sqref="C77:D80 C72:D74 C42:D45">
    <cfRule type="colorScale" priority="7">
      <colorScale>
        <cfvo type="min"/>
        <cfvo type="percentile" val="50"/>
        <cfvo type="max"/>
        <color rgb="FFF8696B"/>
        <color rgb="FFFFEB84"/>
        <color rgb="FF63BE7B"/>
      </colorScale>
    </cfRule>
  </conditionalFormatting>
  <conditionalFormatting sqref="C77:D80">
    <cfRule type="colorScale" priority="2">
      <colorScale>
        <cfvo type="min"/>
        <cfvo type="percentile" val="50"/>
        <cfvo type="max"/>
        <color rgb="FFF8696B"/>
        <color rgb="FFFFEB84"/>
        <color rgb="FF63BE7B"/>
      </colorScale>
    </cfRule>
  </conditionalFormatting>
  <conditionalFormatting sqref="C83:D96">
    <cfRule type="colorScale" priority="6">
      <colorScale>
        <cfvo type="min"/>
        <cfvo type="percentile" val="50"/>
        <cfvo type="max"/>
        <color rgb="FFF8696B"/>
        <color rgb="FFFFEB84"/>
        <color rgb="FF63BE7B"/>
      </colorScale>
    </cfRule>
  </conditionalFormatting>
  <conditionalFormatting sqref="C99:D102">
    <cfRule type="colorScale" priority="1">
      <colorScale>
        <cfvo type="min"/>
        <cfvo type="percentile" val="50"/>
        <cfvo type="max"/>
        <color rgb="FFF8696B"/>
        <color rgb="FFFFEB84"/>
        <color rgb="FF63BE7B"/>
      </colorScale>
    </cfRule>
  </conditionalFormatting>
  <hyperlinks>
    <hyperlink ref="A1" location="Contents!A1" display="Back to contents page" xr:uid="{D7D2BB92-502F-4A83-81AB-F056FE4768B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283B-9770-433F-80D9-B7085C390171}">
  <dimension ref="A1:C26"/>
  <sheetViews>
    <sheetView workbookViewId="0">
      <selection activeCell="C30" sqref="C30"/>
    </sheetView>
  </sheetViews>
  <sheetFormatPr defaultRowHeight="14.5" x14ac:dyDescent="0.35"/>
  <cols>
    <col min="1" max="1" width="28.1796875" bestFit="1" customWidth="1"/>
    <col min="2" max="2" width="20.81640625" bestFit="1" customWidth="1"/>
    <col min="3" max="3" width="15.54296875" bestFit="1" customWidth="1"/>
  </cols>
  <sheetData>
    <row r="1" spans="1:3" x14ac:dyDescent="0.35">
      <c r="A1" s="7" t="s">
        <v>18</v>
      </c>
    </row>
    <row r="2" spans="1:3" ht="15.5" x14ac:dyDescent="0.35">
      <c r="A2" s="50" t="s">
        <v>8</v>
      </c>
    </row>
    <row r="4" spans="1:3" x14ac:dyDescent="0.35">
      <c r="A4" s="8" t="s">
        <v>19</v>
      </c>
      <c r="B4" s="8" t="s">
        <v>20</v>
      </c>
      <c r="C4" s="8" t="s">
        <v>21</v>
      </c>
    </row>
    <row r="5" spans="1:3" x14ac:dyDescent="0.35">
      <c r="A5" t="s">
        <v>22</v>
      </c>
      <c r="B5">
        <v>4</v>
      </c>
      <c r="C5" s="9">
        <f>B5/331</f>
        <v>1.2084592145015106E-2</v>
      </c>
    </row>
    <row r="6" spans="1:3" x14ac:dyDescent="0.35">
      <c r="A6" t="s">
        <v>23</v>
      </c>
      <c r="B6">
        <v>37</v>
      </c>
      <c r="C6" s="9">
        <f t="shared" ref="C6:C10" si="0">B6/331</f>
        <v>0.11178247734138973</v>
      </c>
    </row>
    <row r="7" spans="1:3" x14ac:dyDescent="0.35">
      <c r="A7" t="s">
        <v>24</v>
      </c>
      <c r="B7">
        <v>180</v>
      </c>
      <c r="C7" s="9">
        <f t="shared" si="0"/>
        <v>0.54380664652567978</v>
      </c>
    </row>
    <row r="8" spans="1:3" x14ac:dyDescent="0.35">
      <c r="A8" t="s">
        <v>25</v>
      </c>
      <c r="B8">
        <v>86</v>
      </c>
      <c r="C8" s="9">
        <f t="shared" si="0"/>
        <v>0.25981873111782477</v>
      </c>
    </row>
    <row r="9" spans="1:3" x14ac:dyDescent="0.35">
      <c r="A9" t="s">
        <v>26</v>
      </c>
      <c r="B9">
        <v>21</v>
      </c>
      <c r="C9" s="9">
        <f t="shared" si="0"/>
        <v>6.3444108761329304E-2</v>
      </c>
    </row>
    <row r="10" spans="1:3" x14ac:dyDescent="0.35">
      <c r="A10" t="s">
        <v>27</v>
      </c>
      <c r="B10">
        <v>3</v>
      </c>
      <c r="C10" s="9">
        <f t="shared" si="0"/>
        <v>9.0634441087613302E-3</v>
      </c>
    </row>
    <row r="11" spans="1:3" x14ac:dyDescent="0.35">
      <c r="A11" s="8" t="s">
        <v>28</v>
      </c>
      <c r="B11" s="8">
        <f>SUM(B5:B10)</f>
        <v>331</v>
      </c>
      <c r="C11" s="10">
        <f>SUM(C5:C10)</f>
        <v>1</v>
      </c>
    </row>
    <row r="14" spans="1:3" x14ac:dyDescent="0.35">
      <c r="A14" s="8" t="s">
        <v>19</v>
      </c>
      <c r="B14" s="8" t="s">
        <v>21</v>
      </c>
      <c r="C14" s="8" t="s">
        <v>29</v>
      </c>
    </row>
    <row r="15" spans="1:3" x14ac:dyDescent="0.35">
      <c r="A15" t="s">
        <v>22</v>
      </c>
      <c r="B15" s="9">
        <f>C5</f>
        <v>1.2084592145015106E-2</v>
      </c>
      <c r="C15" s="11">
        <v>0.47139999999999999</v>
      </c>
    </row>
    <row r="16" spans="1:3" x14ac:dyDescent="0.35">
      <c r="A16" t="s">
        <v>23</v>
      </c>
      <c r="B16" s="9">
        <f t="shared" ref="B16:B20" si="1">C6</f>
        <v>0.11178247734138973</v>
      </c>
      <c r="C16" s="11">
        <v>0.33200000000000002</v>
      </c>
    </row>
    <row r="17" spans="1:3" x14ac:dyDescent="0.35">
      <c r="A17" t="s">
        <v>239</v>
      </c>
      <c r="B17" s="9">
        <f t="shared" si="1"/>
        <v>0.54380664652567978</v>
      </c>
      <c r="C17" s="11">
        <v>0.15590000000000001</v>
      </c>
    </row>
    <row r="18" spans="1:3" x14ac:dyDescent="0.35">
      <c r="A18" t="s">
        <v>25</v>
      </c>
      <c r="B18" s="9">
        <f t="shared" si="1"/>
        <v>0.25981873111782477</v>
      </c>
      <c r="C18" s="11">
        <v>3.5700000000000003E-2</v>
      </c>
    </row>
    <row r="19" spans="1:3" x14ac:dyDescent="0.35">
      <c r="A19" t="s">
        <v>26</v>
      </c>
      <c r="B19" s="9">
        <f t="shared" si="1"/>
        <v>6.3444108761329304E-2</v>
      </c>
      <c r="C19" s="11">
        <v>4.4999999999999997E-3</v>
      </c>
    </row>
    <row r="20" spans="1:3" x14ac:dyDescent="0.35">
      <c r="A20" t="s">
        <v>27</v>
      </c>
      <c r="B20" s="9">
        <f t="shared" si="1"/>
        <v>9.0634441087613302E-3</v>
      </c>
      <c r="C20" s="11">
        <v>4.0000000000000002E-4</v>
      </c>
    </row>
    <row r="21" spans="1:3" x14ac:dyDescent="0.35">
      <c r="A21" s="3"/>
    </row>
    <row r="26" spans="1:3" x14ac:dyDescent="0.35">
      <c r="A26" s="8"/>
    </row>
  </sheetData>
  <sheetProtection algorithmName="SHA-512" hashValue="3vqXziIHB5Lc0Ij/frWUPauuehJeLGK9yy4AuTfecCEA/TUVvOul2+m/xAIAuvqQLj+mnGcDP/T1FtUqPDGDbg==" saltValue="zDmnImGqMYhDhKhu4iHgFg==" spinCount="100000" sheet="1" objects="1" scenarios="1"/>
  <hyperlinks>
    <hyperlink ref="A1" location="Contents!A1" display="Back to contents page" xr:uid="{C62B04C6-5F9C-4256-8248-D4D47D728C6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867E-2D5E-435D-8C58-D23B1492E9A0}">
  <dimension ref="A1:C50"/>
  <sheetViews>
    <sheetView workbookViewId="0">
      <selection activeCell="A9" sqref="A9"/>
    </sheetView>
  </sheetViews>
  <sheetFormatPr defaultRowHeight="14.5" x14ac:dyDescent="0.35"/>
  <cols>
    <col min="1" max="1" width="44.453125" customWidth="1"/>
    <col min="2" max="2" width="15.81640625" customWidth="1"/>
    <col min="3" max="3" width="11.54296875" customWidth="1"/>
  </cols>
  <sheetData>
    <row r="1" spans="1:3" x14ac:dyDescent="0.35">
      <c r="A1" s="7" t="s">
        <v>18</v>
      </c>
    </row>
    <row r="2" spans="1:3" ht="15.5" x14ac:dyDescent="0.35">
      <c r="A2" s="50" t="s">
        <v>10</v>
      </c>
    </row>
    <row r="3" spans="1:3" x14ac:dyDescent="0.35">
      <c r="A3" s="3" t="s">
        <v>30</v>
      </c>
    </row>
    <row r="4" spans="1:3" x14ac:dyDescent="0.35">
      <c r="A4" s="3" t="s">
        <v>200</v>
      </c>
    </row>
    <row r="6" spans="1:3" x14ac:dyDescent="0.35">
      <c r="A6" s="8" t="s">
        <v>31</v>
      </c>
      <c r="B6" s="8" t="s">
        <v>32</v>
      </c>
      <c r="C6" s="8" t="s">
        <v>33</v>
      </c>
    </row>
    <row r="7" spans="1:3" x14ac:dyDescent="0.35">
      <c r="A7" t="s">
        <v>34</v>
      </c>
      <c r="B7">
        <v>150</v>
      </c>
      <c r="C7" s="20">
        <f t="shared" ref="C7:C29" si="0">B7/331</f>
        <v>0.45317220543806647</v>
      </c>
    </row>
    <row r="8" spans="1:3" x14ac:dyDescent="0.35">
      <c r="A8" t="s">
        <v>35</v>
      </c>
      <c r="B8">
        <v>130</v>
      </c>
      <c r="C8" s="20">
        <f t="shared" si="0"/>
        <v>0.39274924471299094</v>
      </c>
    </row>
    <row r="9" spans="1:3" x14ac:dyDescent="0.35">
      <c r="A9" t="s">
        <v>36</v>
      </c>
      <c r="B9">
        <v>84</v>
      </c>
      <c r="C9" s="20">
        <f t="shared" si="0"/>
        <v>0.25377643504531722</v>
      </c>
    </row>
    <row r="10" spans="1:3" x14ac:dyDescent="0.35">
      <c r="A10" t="s">
        <v>37</v>
      </c>
      <c r="B10">
        <v>78</v>
      </c>
      <c r="C10" s="20">
        <f t="shared" si="0"/>
        <v>0.23564954682779457</v>
      </c>
    </row>
    <row r="11" spans="1:3" x14ac:dyDescent="0.35">
      <c r="A11" t="s">
        <v>38</v>
      </c>
      <c r="B11">
        <v>66</v>
      </c>
      <c r="C11" s="20">
        <f t="shared" si="0"/>
        <v>0.19939577039274925</v>
      </c>
    </row>
    <row r="12" spans="1:3" x14ac:dyDescent="0.35">
      <c r="A12" t="s">
        <v>39</v>
      </c>
      <c r="B12">
        <v>53</v>
      </c>
      <c r="C12" s="20">
        <f t="shared" si="0"/>
        <v>0.16012084592145015</v>
      </c>
    </row>
    <row r="13" spans="1:3" x14ac:dyDescent="0.35">
      <c r="A13" t="s">
        <v>40</v>
      </c>
      <c r="B13">
        <v>53</v>
      </c>
      <c r="C13" s="20">
        <f t="shared" si="0"/>
        <v>0.16012084592145015</v>
      </c>
    </row>
    <row r="14" spans="1:3" x14ac:dyDescent="0.35">
      <c r="A14" t="s">
        <v>41</v>
      </c>
      <c r="B14">
        <v>50</v>
      </c>
      <c r="C14" s="20">
        <f t="shared" si="0"/>
        <v>0.15105740181268881</v>
      </c>
    </row>
    <row r="15" spans="1:3" x14ac:dyDescent="0.35">
      <c r="A15" t="s">
        <v>42</v>
      </c>
      <c r="B15">
        <v>44</v>
      </c>
      <c r="C15" s="20">
        <f t="shared" si="0"/>
        <v>0.13293051359516617</v>
      </c>
    </row>
    <row r="16" spans="1:3" x14ac:dyDescent="0.35">
      <c r="A16" t="s">
        <v>43</v>
      </c>
      <c r="B16">
        <v>41</v>
      </c>
      <c r="C16" s="20">
        <f t="shared" si="0"/>
        <v>0.12386706948640483</v>
      </c>
    </row>
    <row r="17" spans="1:3" x14ac:dyDescent="0.35">
      <c r="A17" t="s">
        <v>48</v>
      </c>
      <c r="B17">
        <v>21</v>
      </c>
      <c r="C17" s="20">
        <f t="shared" si="0"/>
        <v>6.3444108761329304E-2</v>
      </c>
    </row>
    <row r="18" spans="1:3" x14ac:dyDescent="0.35">
      <c r="A18" t="s">
        <v>195</v>
      </c>
      <c r="B18">
        <v>18</v>
      </c>
      <c r="C18" s="20">
        <f t="shared" si="0"/>
        <v>5.4380664652567974E-2</v>
      </c>
    </row>
    <row r="19" spans="1:3" x14ac:dyDescent="0.35">
      <c r="A19" t="s">
        <v>45</v>
      </c>
      <c r="B19">
        <v>15</v>
      </c>
      <c r="C19" s="20">
        <f t="shared" si="0"/>
        <v>4.5317220543806644E-2</v>
      </c>
    </row>
    <row r="20" spans="1:3" x14ac:dyDescent="0.35">
      <c r="A20" t="s">
        <v>98</v>
      </c>
      <c r="B20">
        <v>13</v>
      </c>
      <c r="C20" s="20">
        <f t="shared" si="0"/>
        <v>3.9274924471299093E-2</v>
      </c>
    </row>
    <row r="21" spans="1:3" x14ac:dyDescent="0.35">
      <c r="A21" t="s">
        <v>129</v>
      </c>
      <c r="B21">
        <v>11</v>
      </c>
      <c r="C21" s="20">
        <f t="shared" si="0"/>
        <v>3.3232628398791542E-2</v>
      </c>
    </row>
    <row r="22" spans="1:3" x14ac:dyDescent="0.35">
      <c r="A22" t="s">
        <v>44</v>
      </c>
      <c r="B22">
        <v>10</v>
      </c>
      <c r="C22" s="20">
        <f t="shared" si="0"/>
        <v>3.0211480362537766E-2</v>
      </c>
    </row>
    <row r="23" spans="1:3" x14ac:dyDescent="0.35">
      <c r="A23" t="s">
        <v>46</v>
      </c>
      <c r="B23">
        <v>7</v>
      </c>
      <c r="C23" s="20">
        <f t="shared" si="0"/>
        <v>2.1148036253776436E-2</v>
      </c>
    </row>
    <row r="24" spans="1:3" x14ac:dyDescent="0.35">
      <c r="A24" t="s">
        <v>97</v>
      </c>
      <c r="B24">
        <v>7</v>
      </c>
      <c r="C24" s="20">
        <f t="shared" si="0"/>
        <v>2.1148036253776436E-2</v>
      </c>
    </row>
    <row r="25" spans="1:3" x14ac:dyDescent="0.35">
      <c r="A25" t="s">
        <v>280</v>
      </c>
      <c r="B25">
        <v>6</v>
      </c>
      <c r="C25" s="20">
        <f t="shared" si="0"/>
        <v>1.812688821752266E-2</v>
      </c>
    </row>
    <row r="26" spans="1:3" x14ac:dyDescent="0.35">
      <c r="A26" t="s">
        <v>96</v>
      </c>
      <c r="B26">
        <v>6</v>
      </c>
      <c r="C26" s="20">
        <f t="shared" si="0"/>
        <v>1.812688821752266E-2</v>
      </c>
    </row>
    <row r="27" spans="1:3" x14ac:dyDescent="0.35">
      <c r="A27" t="s">
        <v>189</v>
      </c>
      <c r="B27">
        <v>5</v>
      </c>
      <c r="C27" s="20">
        <f t="shared" si="0"/>
        <v>1.5105740181268883E-2</v>
      </c>
    </row>
    <row r="28" spans="1:3" x14ac:dyDescent="0.35">
      <c r="A28" t="s">
        <v>95</v>
      </c>
      <c r="B28">
        <v>4</v>
      </c>
      <c r="C28" s="20">
        <f t="shared" si="0"/>
        <v>1.2084592145015106E-2</v>
      </c>
    </row>
    <row r="29" spans="1:3" x14ac:dyDescent="0.35">
      <c r="A29" t="s">
        <v>190</v>
      </c>
      <c r="B29">
        <v>3</v>
      </c>
      <c r="C29" s="20">
        <f t="shared" si="0"/>
        <v>9.0634441087613302E-3</v>
      </c>
    </row>
    <row r="30" spans="1:3" x14ac:dyDescent="0.35">
      <c r="C30" s="9"/>
    </row>
    <row r="32" spans="1:3" ht="29" x14ac:dyDescent="0.35">
      <c r="A32" s="19" t="s">
        <v>203</v>
      </c>
      <c r="B32" s="8" t="s">
        <v>201</v>
      </c>
      <c r="C32" s="8" t="s">
        <v>202</v>
      </c>
    </row>
    <row r="33" spans="1:3" x14ac:dyDescent="0.35">
      <c r="A33" t="s">
        <v>199</v>
      </c>
      <c r="B33" s="9">
        <v>0.78247734138972813</v>
      </c>
      <c r="C33" s="21">
        <f>31115/163959</f>
        <v>0.18977305301935241</v>
      </c>
    </row>
    <row r="34" spans="1:3" x14ac:dyDescent="0.35">
      <c r="A34" t="s">
        <v>197</v>
      </c>
      <c r="B34" s="9">
        <v>0.46827794561933533</v>
      </c>
      <c r="C34" s="21">
        <f>6227/163959</f>
        <v>3.7979006946858664E-2</v>
      </c>
    </row>
    <row r="35" spans="1:3" x14ac:dyDescent="0.35">
      <c r="A35" t="s">
        <v>194</v>
      </c>
      <c r="B35" s="9">
        <v>0.19939577039274925</v>
      </c>
      <c r="C35" s="21">
        <f>3307/163959</f>
        <v>2.0169676565482835E-2</v>
      </c>
    </row>
    <row r="36" spans="1:3" x14ac:dyDescent="0.35">
      <c r="A36" t="s">
        <v>192</v>
      </c>
      <c r="B36" s="9">
        <v>0.19939577039274925</v>
      </c>
      <c r="C36" s="21">
        <f>1642/163959</f>
        <v>1.0014698796650382E-2</v>
      </c>
    </row>
    <row r="37" spans="1:3" x14ac:dyDescent="0.35">
      <c r="A37" t="s">
        <v>196</v>
      </c>
      <c r="B37" s="9">
        <v>6.3444108761329304E-2</v>
      </c>
      <c r="C37" s="21">
        <f>1005/163959</f>
        <v>6.1295811757817505E-3</v>
      </c>
    </row>
    <row r="38" spans="1:3" x14ac:dyDescent="0.35">
      <c r="A38" t="s">
        <v>191</v>
      </c>
      <c r="B38" s="9">
        <v>3.9274924471299093E-2</v>
      </c>
      <c r="C38" s="21">
        <f>7688/163959</f>
        <v>4.688977122329363E-2</v>
      </c>
    </row>
    <row r="39" spans="1:3" x14ac:dyDescent="0.35">
      <c r="A39" t="s">
        <v>188</v>
      </c>
      <c r="B39" s="9">
        <v>2.4169184290030211E-2</v>
      </c>
      <c r="C39" s="21">
        <f>24556/163959</f>
        <v>0.14976914960447429</v>
      </c>
    </row>
    <row r="40" spans="1:3" x14ac:dyDescent="0.35">
      <c r="A40" t="s">
        <v>193</v>
      </c>
      <c r="B40" s="9">
        <v>0.13293051359516617</v>
      </c>
      <c r="C40" s="21">
        <f>4619/163959</f>
        <v>2.8171677065607865E-2</v>
      </c>
    </row>
    <row r="41" spans="1:3" x14ac:dyDescent="0.35">
      <c r="A41" t="s">
        <v>198</v>
      </c>
      <c r="B41" s="9">
        <v>1.812688821752266E-2</v>
      </c>
      <c r="C41" s="21">
        <f>6229/163959</f>
        <v>3.7991205118352758E-2</v>
      </c>
    </row>
    <row r="42" spans="1:3" x14ac:dyDescent="0.35">
      <c r="A42" t="s">
        <v>179</v>
      </c>
      <c r="B42" s="17">
        <v>0</v>
      </c>
      <c r="C42" s="21">
        <f>16495/163959</f>
        <v>0.10060441939753231</v>
      </c>
    </row>
    <row r="43" spans="1:3" x14ac:dyDescent="0.35">
      <c r="A43" t="s">
        <v>180</v>
      </c>
      <c r="B43" s="17">
        <v>0</v>
      </c>
      <c r="C43" s="21">
        <f>11900/163959</f>
        <v>7.2579120389853563E-2</v>
      </c>
    </row>
    <row r="44" spans="1:3" x14ac:dyDescent="0.35">
      <c r="A44" t="s">
        <v>181</v>
      </c>
      <c r="B44" s="17">
        <v>0</v>
      </c>
      <c r="C44" s="21">
        <f>11076/163959</f>
        <v>6.7553473734287231E-2</v>
      </c>
    </row>
    <row r="45" spans="1:3" x14ac:dyDescent="0.35">
      <c r="A45" t="s">
        <v>182</v>
      </c>
      <c r="B45" s="17">
        <v>0</v>
      </c>
      <c r="C45" s="21">
        <f>9239/163959</f>
        <v>5.6349453216962775E-2</v>
      </c>
    </row>
    <row r="46" spans="1:3" x14ac:dyDescent="0.35">
      <c r="A46" t="s">
        <v>183</v>
      </c>
      <c r="B46" s="17">
        <v>0</v>
      </c>
      <c r="C46" s="21">
        <f>7349/163959</f>
        <v>4.4822181155044862E-2</v>
      </c>
    </row>
    <row r="47" spans="1:3" x14ac:dyDescent="0.35">
      <c r="A47" t="s">
        <v>184</v>
      </c>
      <c r="B47" s="17">
        <v>0</v>
      </c>
      <c r="C47" s="21">
        <f>7012/163959</f>
        <v>4.276678925829018E-2</v>
      </c>
    </row>
    <row r="48" spans="1:3" x14ac:dyDescent="0.35">
      <c r="A48" t="s">
        <v>185</v>
      </c>
      <c r="B48" s="17">
        <v>0</v>
      </c>
      <c r="C48" s="21">
        <f>5862/163959</f>
        <v>3.5752840649186685E-2</v>
      </c>
    </row>
    <row r="49" spans="1:3" x14ac:dyDescent="0.35">
      <c r="A49" t="s">
        <v>186</v>
      </c>
      <c r="B49" s="17">
        <v>0</v>
      </c>
      <c r="C49" s="21">
        <f>5287/163959</f>
        <v>3.2245866344634937E-2</v>
      </c>
    </row>
    <row r="50" spans="1:3" x14ac:dyDescent="0.35">
      <c r="A50" t="s">
        <v>187</v>
      </c>
      <c r="B50" s="17">
        <v>0</v>
      </c>
      <c r="C50" s="21">
        <f>3349/163959</f>
        <v>2.0425838166858789E-2</v>
      </c>
    </row>
  </sheetData>
  <sheetProtection algorithmName="SHA-512" hashValue="UiN/Q74yXSDJoYn2e+hJd0fbsQDtAF4vvEGjhEzvMLh7MlBJEvo1poadm0FakRoLHIXgMT04V7nI84khtdI6zg==" saltValue="EzT742U4D3M3fZCz6kcLBg==" spinCount="100000" sheet="1" objects="1" scenarios="1"/>
  <sortState xmlns:xlrd2="http://schemas.microsoft.com/office/spreadsheetml/2017/richdata2" ref="A33:C50">
    <sortCondition descending="1" ref="B33:B50"/>
  </sortState>
  <hyperlinks>
    <hyperlink ref="A1" location="Contents!A1" display="Back to contents page" xr:uid="{477BBB2C-820B-4E64-A59A-5C53DD1C00E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4FB9-AB7B-4C32-9E25-51DF6512C174}">
  <dimension ref="A1:C9"/>
  <sheetViews>
    <sheetView workbookViewId="0">
      <selection activeCell="A2" sqref="A2"/>
    </sheetView>
  </sheetViews>
  <sheetFormatPr defaultRowHeight="14.5" x14ac:dyDescent="0.35"/>
  <cols>
    <col min="1" max="1" width="25.54296875" customWidth="1"/>
    <col min="2" max="2" width="31.7265625" bestFit="1" customWidth="1"/>
    <col min="3" max="3" width="26.26953125" bestFit="1" customWidth="1"/>
  </cols>
  <sheetData>
    <row r="1" spans="1:3" x14ac:dyDescent="0.35">
      <c r="A1" s="7" t="s">
        <v>18</v>
      </c>
    </row>
    <row r="2" spans="1:3" ht="15.5" x14ac:dyDescent="0.35">
      <c r="A2" s="50" t="s">
        <v>12</v>
      </c>
    </row>
    <row r="4" spans="1:3" x14ac:dyDescent="0.35">
      <c r="A4" s="8" t="s">
        <v>47</v>
      </c>
      <c r="B4" s="8" t="s">
        <v>49</v>
      </c>
      <c r="C4" s="8" t="s">
        <v>50</v>
      </c>
    </row>
    <row r="5" spans="1:3" x14ac:dyDescent="0.35">
      <c r="A5" t="s">
        <v>281</v>
      </c>
      <c r="B5">
        <v>58</v>
      </c>
      <c r="C5" s="9">
        <f>B5/331</f>
        <v>0.17522658610271905</v>
      </c>
    </row>
    <row r="6" spans="1:3" x14ac:dyDescent="0.35">
      <c r="A6" t="s">
        <v>54</v>
      </c>
      <c r="B6">
        <v>25</v>
      </c>
      <c r="C6" s="9">
        <f>B6/331</f>
        <v>7.5528700906344406E-2</v>
      </c>
    </row>
    <row r="7" spans="1:3" x14ac:dyDescent="0.35">
      <c r="A7" t="s">
        <v>53</v>
      </c>
      <c r="B7">
        <v>19</v>
      </c>
      <c r="C7" s="9">
        <f>B7/331</f>
        <v>5.7401812688821753E-2</v>
      </c>
    </row>
    <row r="8" spans="1:3" x14ac:dyDescent="0.35">
      <c r="A8" t="s">
        <v>52</v>
      </c>
      <c r="B8">
        <v>13</v>
      </c>
      <c r="C8" s="9">
        <f>B8/331</f>
        <v>3.9274924471299093E-2</v>
      </c>
    </row>
    <row r="9" spans="1:3" x14ac:dyDescent="0.35">
      <c r="A9" t="s">
        <v>51</v>
      </c>
      <c r="B9">
        <v>6</v>
      </c>
      <c r="C9" s="9">
        <f>B9/331</f>
        <v>1.812688821752266E-2</v>
      </c>
    </row>
  </sheetData>
  <sheetProtection algorithmName="SHA-512" hashValue="zJI4t063rOSwf7weREosEK1qIQYRn7VeCEaEr+4Q1/aWjXZeNy7mfYH7ZdY757N2MNNcGlSAgFOFwOJJqbCgpg==" saltValue="828v94FN81MVPsmq13fuHw==" spinCount="100000" sheet="1" objects="1" scenarios="1"/>
  <sortState xmlns:xlrd2="http://schemas.microsoft.com/office/spreadsheetml/2017/richdata2" ref="A5:C9">
    <sortCondition descending="1" ref="B5:B9"/>
  </sortState>
  <hyperlinks>
    <hyperlink ref="A1" location="Contents!A1" display="Back to contents page" xr:uid="{ADD39D15-AE3D-4505-8B3F-722D6ADEF7F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717C-0CE9-4AD6-AF4A-A957CD064D9B}">
  <dimension ref="A1:I35"/>
  <sheetViews>
    <sheetView workbookViewId="0">
      <selection activeCell="A2" sqref="A2"/>
    </sheetView>
  </sheetViews>
  <sheetFormatPr defaultRowHeight="14.5" x14ac:dyDescent="0.35"/>
  <cols>
    <col min="1" max="1" width="15.453125" customWidth="1"/>
    <col min="2" max="2" width="31.7265625" bestFit="1" customWidth="1"/>
    <col min="3" max="3" width="26.26953125" bestFit="1" customWidth="1"/>
    <col min="8" max="8" width="8.7265625" customWidth="1"/>
  </cols>
  <sheetData>
    <row r="1" spans="1:3" x14ac:dyDescent="0.35">
      <c r="A1" s="7" t="s">
        <v>18</v>
      </c>
    </row>
    <row r="2" spans="1:3" ht="15.5" x14ac:dyDescent="0.35">
      <c r="A2" s="50" t="s">
        <v>14</v>
      </c>
    </row>
    <row r="3" spans="1:3" x14ac:dyDescent="0.35">
      <c r="A3" s="3" t="s">
        <v>56</v>
      </c>
    </row>
    <row r="4" spans="1:3" x14ac:dyDescent="0.35">
      <c r="A4" s="3" t="s">
        <v>282</v>
      </c>
    </row>
    <row r="6" spans="1:3" x14ac:dyDescent="0.35">
      <c r="A6" s="8" t="s">
        <v>57</v>
      </c>
      <c r="B6" s="8" t="s">
        <v>49</v>
      </c>
      <c r="C6" s="8" t="s">
        <v>50</v>
      </c>
    </row>
    <row r="7" spans="1:3" x14ac:dyDescent="0.35">
      <c r="A7" t="s">
        <v>58</v>
      </c>
      <c r="B7">
        <v>13</v>
      </c>
      <c r="C7" s="9">
        <f>B7/331</f>
        <v>3.9274924471299093E-2</v>
      </c>
    </row>
    <row r="8" spans="1:3" x14ac:dyDescent="0.35">
      <c r="A8" t="s">
        <v>59</v>
      </c>
      <c r="B8">
        <v>20</v>
      </c>
      <c r="C8" s="9">
        <f t="shared" ref="C8:C19" si="0">B8/331</f>
        <v>6.0422960725075532E-2</v>
      </c>
    </row>
    <row r="9" spans="1:3" x14ac:dyDescent="0.35">
      <c r="A9" t="s">
        <v>60</v>
      </c>
      <c r="B9">
        <v>39</v>
      </c>
      <c r="C9" s="9">
        <f t="shared" si="0"/>
        <v>0.11782477341389729</v>
      </c>
    </row>
    <row r="10" spans="1:3" x14ac:dyDescent="0.35">
      <c r="A10" t="s">
        <v>61</v>
      </c>
      <c r="B10">
        <v>38</v>
      </c>
      <c r="C10" s="9">
        <f t="shared" si="0"/>
        <v>0.11480362537764351</v>
      </c>
    </row>
    <row r="11" spans="1:3" x14ac:dyDescent="0.35">
      <c r="A11" t="s">
        <v>62</v>
      </c>
      <c r="B11">
        <v>58</v>
      </c>
      <c r="C11" s="9">
        <f t="shared" si="0"/>
        <v>0.17522658610271905</v>
      </c>
    </row>
    <row r="12" spans="1:3" x14ac:dyDescent="0.35">
      <c r="A12" t="s">
        <v>63</v>
      </c>
      <c r="B12">
        <v>38</v>
      </c>
      <c r="C12" s="9">
        <f t="shared" si="0"/>
        <v>0.11480362537764351</v>
      </c>
    </row>
    <row r="13" spans="1:3" x14ac:dyDescent="0.35">
      <c r="A13" t="s">
        <v>283</v>
      </c>
      <c r="B13">
        <v>36</v>
      </c>
      <c r="C13" s="9">
        <f t="shared" si="0"/>
        <v>0.10876132930513595</v>
      </c>
    </row>
    <row r="14" spans="1:3" x14ac:dyDescent="0.35">
      <c r="A14" t="s">
        <v>65</v>
      </c>
      <c r="B14">
        <v>37</v>
      </c>
      <c r="C14" s="9">
        <f t="shared" si="0"/>
        <v>0.11178247734138973</v>
      </c>
    </row>
    <row r="15" spans="1:3" x14ac:dyDescent="0.35">
      <c r="A15" t="s">
        <v>66</v>
      </c>
      <c r="B15">
        <v>29</v>
      </c>
      <c r="C15" s="9">
        <f t="shared" si="0"/>
        <v>8.7613293051359523E-2</v>
      </c>
    </row>
    <row r="16" spans="1:3" x14ac:dyDescent="0.35">
      <c r="A16" t="s">
        <v>67</v>
      </c>
      <c r="B16">
        <v>27</v>
      </c>
      <c r="C16" s="9">
        <f t="shared" si="0"/>
        <v>8.1570996978851965E-2</v>
      </c>
    </row>
    <row r="17" spans="1:9" x14ac:dyDescent="0.35">
      <c r="A17" t="s">
        <v>68</v>
      </c>
      <c r="B17">
        <v>69</v>
      </c>
      <c r="C17" s="9">
        <f t="shared" si="0"/>
        <v>0.20845921450151059</v>
      </c>
    </row>
    <row r="18" spans="1:9" x14ac:dyDescent="0.35">
      <c r="A18" t="s">
        <v>69</v>
      </c>
      <c r="B18">
        <v>39</v>
      </c>
      <c r="C18" s="9">
        <f t="shared" si="0"/>
        <v>0.11782477341389729</v>
      </c>
    </row>
    <row r="19" spans="1:9" x14ac:dyDescent="0.35">
      <c r="A19" t="s">
        <v>70</v>
      </c>
      <c r="B19">
        <v>54</v>
      </c>
      <c r="C19" s="9">
        <f t="shared" si="0"/>
        <v>0.16314199395770393</v>
      </c>
    </row>
    <row r="22" spans="1:9" x14ac:dyDescent="0.35">
      <c r="A22" s="8" t="s">
        <v>57</v>
      </c>
      <c r="B22" s="8" t="s">
        <v>50</v>
      </c>
      <c r="C22" s="8" t="s">
        <v>71</v>
      </c>
      <c r="H22" s="12"/>
      <c r="I22" s="12"/>
    </row>
    <row r="23" spans="1:9" x14ac:dyDescent="0.35">
      <c r="A23" t="s">
        <v>58</v>
      </c>
      <c r="B23" s="9">
        <f>C7</f>
        <v>3.9274924471299093E-2</v>
      </c>
      <c r="C23" s="9">
        <f>6415/163959</f>
        <v>3.9125635067303412E-2</v>
      </c>
      <c r="H23" s="12"/>
      <c r="I23" s="12"/>
    </row>
    <row r="24" spans="1:9" x14ac:dyDescent="0.35">
      <c r="A24" t="s">
        <v>59</v>
      </c>
      <c r="B24" s="9">
        <f>C8</f>
        <v>6.0422960725075532E-2</v>
      </c>
      <c r="C24" s="9">
        <f>19947/163959</f>
        <v>0.12165846339633689</v>
      </c>
      <c r="H24" s="13"/>
      <c r="I24" s="12"/>
    </row>
    <row r="25" spans="1:9" x14ac:dyDescent="0.35">
      <c r="A25" t="s">
        <v>60</v>
      </c>
      <c r="B25" s="9">
        <f t="shared" ref="B25:B35" si="1">C9</f>
        <v>0.11782477341389729</v>
      </c>
      <c r="C25" s="9">
        <f>7009/163959</f>
        <v>4.2748492001049042E-2</v>
      </c>
      <c r="H25" s="12"/>
      <c r="I25" s="12"/>
    </row>
    <row r="26" spans="1:9" x14ac:dyDescent="0.35">
      <c r="A26" t="s">
        <v>61</v>
      </c>
      <c r="B26" s="9">
        <f t="shared" si="1"/>
        <v>0.11480362537764351</v>
      </c>
      <c r="C26" s="9">
        <f>130588/163959</f>
        <v>0.7964674095353107</v>
      </c>
      <c r="H26" s="12"/>
      <c r="I26" s="12"/>
    </row>
    <row r="27" spans="1:9" x14ac:dyDescent="0.35">
      <c r="A27" t="s">
        <v>62</v>
      </c>
      <c r="B27" s="9">
        <f t="shared" si="1"/>
        <v>0.17522658610271905</v>
      </c>
      <c r="C27" s="9">
        <f>12988/163959</f>
        <v>7.9214925682640172E-2</v>
      </c>
      <c r="H27" s="12"/>
      <c r="I27" s="12"/>
    </row>
    <row r="28" spans="1:9" x14ac:dyDescent="0.35">
      <c r="A28" t="s">
        <v>63</v>
      </c>
      <c r="B28" s="9">
        <f t="shared" si="1"/>
        <v>0.11480362537764351</v>
      </c>
      <c r="C28" s="9">
        <f>4333/163959</f>
        <v>2.6427338541952561E-2</v>
      </c>
      <c r="H28" s="12"/>
      <c r="I28" s="12"/>
    </row>
    <row r="29" spans="1:9" x14ac:dyDescent="0.35">
      <c r="A29" t="s">
        <v>64</v>
      </c>
      <c r="B29" s="9">
        <f t="shared" si="1"/>
        <v>0.10876132930513595</v>
      </c>
      <c r="C29" s="9">
        <f>10084/163959</f>
        <v>6.1503180673217084E-2</v>
      </c>
      <c r="H29" s="12"/>
      <c r="I29" s="12"/>
    </row>
    <row r="30" spans="1:9" x14ac:dyDescent="0.35">
      <c r="A30" t="s">
        <v>65</v>
      </c>
      <c r="B30" s="9">
        <f t="shared" si="1"/>
        <v>0.11178247734138973</v>
      </c>
      <c r="C30" s="9">
        <f>10134/163959</f>
        <v>6.1808134960569409E-2</v>
      </c>
      <c r="H30" s="12"/>
      <c r="I30" s="12"/>
    </row>
    <row r="31" spans="1:9" x14ac:dyDescent="0.35">
      <c r="A31" t="s">
        <v>66</v>
      </c>
      <c r="B31" s="9">
        <f t="shared" si="1"/>
        <v>8.7613293051359523E-2</v>
      </c>
      <c r="C31" s="9">
        <f>11081/163959</f>
        <v>6.7583969163022464E-2</v>
      </c>
      <c r="H31" s="14"/>
      <c r="I31" s="15"/>
    </row>
    <row r="32" spans="1:9" x14ac:dyDescent="0.35">
      <c r="A32" t="s">
        <v>67</v>
      </c>
      <c r="B32" s="9">
        <f t="shared" si="1"/>
        <v>8.1570996978851965E-2</v>
      </c>
      <c r="C32" s="9">
        <f>15821/163959</f>
        <v>9.6493635604022951E-2</v>
      </c>
      <c r="H32" s="14"/>
      <c r="I32" s="15"/>
    </row>
    <row r="33" spans="1:9" x14ac:dyDescent="0.35">
      <c r="A33" t="s">
        <v>68</v>
      </c>
      <c r="B33" s="9">
        <f t="shared" si="1"/>
        <v>0.20845921450151059</v>
      </c>
      <c r="C33" s="9">
        <f>24177/163959</f>
        <v>0.14745759610634365</v>
      </c>
      <c r="H33" s="14"/>
      <c r="I33" s="15"/>
    </row>
    <row r="34" spans="1:9" x14ac:dyDescent="0.35">
      <c r="A34" t="s">
        <v>69</v>
      </c>
      <c r="B34" s="9">
        <f t="shared" si="1"/>
        <v>0.11782477341389729</v>
      </c>
      <c r="C34" s="9">
        <f>16979/163959</f>
        <v>0.10355637689910283</v>
      </c>
      <c r="H34" s="14"/>
      <c r="I34" s="15"/>
    </row>
    <row r="35" spans="1:9" x14ac:dyDescent="0.35">
      <c r="A35" t="s">
        <v>70</v>
      </c>
      <c r="B35" s="9">
        <f t="shared" si="1"/>
        <v>0.16314199395770393</v>
      </c>
      <c r="C35" s="9">
        <f>24991/163959</f>
        <v>0.15242225190443953</v>
      </c>
      <c r="H35" s="14"/>
      <c r="I35" s="15"/>
    </row>
  </sheetData>
  <sheetProtection algorithmName="SHA-512" hashValue="4RUgyc2N2QzZvb5V5P2IB/gT3w3VF1sAj39XWyAipyCBehaG+OqyxBw7oZgfZDcg1mDKfuB+LdEaoUB3P9X3pA==" saltValue="+P5fKf/4pd8UyGweut5lFg==" spinCount="100000" sheet="1" objects="1" scenarios="1"/>
  <hyperlinks>
    <hyperlink ref="A1" location="Contents!A1" display="Back to contents page" xr:uid="{DE3E3356-B13D-4443-9348-2EA451C5733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B7146-2DD9-424B-B759-FA7D2AAF4A6B}">
  <dimension ref="A1:C23"/>
  <sheetViews>
    <sheetView workbookViewId="0">
      <selection activeCell="A2" sqref="A2"/>
    </sheetView>
  </sheetViews>
  <sheetFormatPr defaultRowHeight="14.5" x14ac:dyDescent="0.35"/>
  <cols>
    <col min="1" max="1" width="36.81640625" customWidth="1"/>
    <col min="2" max="2" width="21.7265625" bestFit="1" customWidth="1"/>
    <col min="3" max="3" width="16.1796875" bestFit="1" customWidth="1"/>
  </cols>
  <sheetData>
    <row r="1" spans="1:3" x14ac:dyDescent="0.35">
      <c r="A1" s="7" t="s">
        <v>18</v>
      </c>
    </row>
    <row r="2" spans="1:3" ht="15.5" x14ac:dyDescent="0.35">
      <c r="A2" s="50" t="s">
        <v>17</v>
      </c>
    </row>
    <row r="3" spans="1:3" x14ac:dyDescent="0.35">
      <c r="A3" s="3" t="s">
        <v>85</v>
      </c>
    </row>
    <row r="5" spans="1:3" x14ac:dyDescent="0.35">
      <c r="A5" s="8" t="s">
        <v>83</v>
      </c>
      <c r="B5" s="8" t="s">
        <v>72</v>
      </c>
      <c r="C5" s="8" t="s">
        <v>84</v>
      </c>
    </row>
    <row r="6" spans="1:3" x14ac:dyDescent="0.35">
      <c r="A6" t="s">
        <v>82</v>
      </c>
      <c r="B6">
        <v>157</v>
      </c>
      <c r="C6" s="9">
        <f t="shared" ref="C6:C23" si="0">B6/331</f>
        <v>0.47432024169184289</v>
      </c>
    </row>
    <row r="7" spans="1:3" x14ac:dyDescent="0.35">
      <c r="A7" t="s">
        <v>81</v>
      </c>
      <c r="B7">
        <v>138</v>
      </c>
      <c r="C7" s="9">
        <f t="shared" si="0"/>
        <v>0.41691842900302117</v>
      </c>
    </row>
    <row r="8" spans="1:3" x14ac:dyDescent="0.35">
      <c r="A8" t="s">
        <v>122</v>
      </c>
      <c r="B8">
        <v>100</v>
      </c>
      <c r="C8" s="9">
        <f t="shared" si="0"/>
        <v>0.30211480362537763</v>
      </c>
    </row>
    <row r="9" spans="1:3" x14ac:dyDescent="0.35">
      <c r="A9" t="s">
        <v>80</v>
      </c>
      <c r="B9">
        <v>81</v>
      </c>
      <c r="C9" s="9">
        <f t="shared" si="0"/>
        <v>0.24471299093655588</v>
      </c>
    </row>
    <row r="10" spans="1:3" x14ac:dyDescent="0.35">
      <c r="A10" t="s">
        <v>86</v>
      </c>
      <c r="B10">
        <v>72</v>
      </c>
      <c r="C10" s="9">
        <f t="shared" si="0"/>
        <v>0.2175226586102719</v>
      </c>
    </row>
    <row r="11" spans="1:3" x14ac:dyDescent="0.35">
      <c r="A11" t="s">
        <v>123</v>
      </c>
      <c r="B11">
        <v>58</v>
      </c>
      <c r="C11" s="9">
        <f t="shared" si="0"/>
        <v>0.17522658610271905</v>
      </c>
    </row>
    <row r="12" spans="1:3" x14ac:dyDescent="0.35">
      <c r="A12" t="s">
        <v>79</v>
      </c>
      <c r="B12">
        <v>52</v>
      </c>
      <c r="C12" s="9">
        <f t="shared" si="0"/>
        <v>0.15709969788519637</v>
      </c>
    </row>
    <row r="13" spans="1:3" x14ac:dyDescent="0.35">
      <c r="A13" t="s">
        <v>124</v>
      </c>
      <c r="B13">
        <v>49</v>
      </c>
      <c r="C13" s="9">
        <f t="shared" si="0"/>
        <v>0.14803625377643503</v>
      </c>
    </row>
    <row r="14" spans="1:3" x14ac:dyDescent="0.35">
      <c r="A14" t="s">
        <v>78</v>
      </c>
      <c r="B14">
        <v>28</v>
      </c>
      <c r="C14" s="9">
        <f t="shared" si="0"/>
        <v>8.4592145015105744E-2</v>
      </c>
    </row>
    <row r="15" spans="1:3" x14ac:dyDescent="0.35">
      <c r="A15" t="s">
        <v>125</v>
      </c>
      <c r="B15">
        <v>27</v>
      </c>
      <c r="C15" s="9">
        <f t="shared" si="0"/>
        <v>8.1570996978851965E-2</v>
      </c>
    </row>
    <row r="16" spans="1:3" x14ac:dyDescent="0.35">
      <c r="A16" t="s">
        <v>77</v>
      </c>
      <c r="B16">
        <v>25</v>
      </c>
      <c r="C16" s="9">
        <f t="shared" si="0"/>
        <v>7.5528700906344406E-2</v>
      </c>
    </row>
    <row r="17" spans="1:3" x14ac:dyDescent="0.35">
      <c r="A17" t="s">
        <v>126</v>
      </c>
      <c r="B17">
        <v>22</v>
      </c>
      <c r="C17" s="9">
        <f t="shared" si="0"/>
        <v>6.6465256797583083E-2</v>
      </c>
    </row>
    <row r="18" spans="1:3" x14ac:dyDescent="0.35">
      <c r="A18" t="s">
        <v>127</v>
      </c>
      <c r="B18">
        <v>10</v>
      </c>
      <c r="C18" s="9">
        <f t="shared" si="0"/>
        <v>3.0211480362537766E-2</v>
      </c>
    </row>
    <row r="19" spans="1:3" x14ac:dyDescent="0.35">
      <c r="A19" t="s">
        <v>128</v>
      </c>
      <c r="B19">
        <v>4</v>
      </c>
      <c r="C19" s="9">
        <f t="shared" si="0"/>
        <v>1.2084592145015106E-2</v>
      </c>
    </row>
    <row r="20" spans="1:3" x14ac:dyDescent="0.35">
      <c r="A20" t="s">
        <v>76</v>
      </c>
      <c r="B20">
        <v>3</v>
      </c>
      <c r="C20" s="9">
        <f t="shared" si="0"/>
        <v>9.0634441087613302E-3</v>
      </c>
    </row>
    <row r="21" spans="1:3" x14ac:dyDescent="0.35">
      <c r="A21" t="s">
        <v>73</v>
      </c>
      <c r="B21">
        <v>2</v>
      </c>
      <c r="C21" s="9">
        <f t="shared" si="0"/>
        <v>6.0422960725075529E-3</v>
      </c>
    </row>
    <row r="22" spans="1:3" x14ac:dyDescent="0.35">
      <c r="A22" t="s">
        <v>74</v>
      </c>
      <c r="B22">
        <v>2</v>
      </c>
      <c r="C22" s="9">
        <f t="shared" si="0"/>
        <v>6.0422960725075529E-3</v>
      </c>
    </row>
    <row r="23" spans="1:3" x14ac:dyDescent="0.35">
      <c r="A23" t="s">
        <v>75</v>
      </c>
      <c r="B23">
        <v>2</v>
      </c>
      <c r="C23" s="9">
        <f t="shared" si="0"/>
        <v>6.0422960725075529E-3</v>
      </c>
    </row>
  </sheetData>
  <sheetProtection algorithmName="SHA-512" hashValue="rXMVr5MmQXNoanFk+/pLAfiTZC1cpTrZSWSrzGe4f4BLqTbu2z6lA/D3vFE4bu2r1GZfA5yGGQ2bClOAOsmPAQ==" saltValue="8yQUV9Juh4/W91jp2lnKtQ==" spinCount="100000" sheet="1" objects="1" scenarios="1"/>
  <sortState xmlns:xlrd2="http://schemas.microsoft.com/office/spreadsheetml/2017/richdata2" ref="A6:C23">
    <sortCondition descending="1" ref="B6:B23"/>
  </sortState>
  <hyperlinks>
    <hyperlink ref="A1" location="Contents!A1" display="Back to contents page" xr:uid="{915E6C13-5202-455E-9F93-AC1368EA8DF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65AE-5E23-4EAF-A527-FC903CEAFBC1}">
  <dimension ref="A1:C9"/>
  <sheetViews>
    <sheetView workbookViewId="0"/>
  </sheetViews>
  <sheetFormatPr defaultRowHeight="14.5" x14ac:dyDescent="0.35"/>
  <cols>
    <col min="1" max="1" width="54" bestFit="1" customWidth="1"/>
    <col min="2" max="2" width="21.7265625" bestFit="1" customWidth="1"/>
    <col min="3" max="3" width="16.1796875" bestFit="1" customWidth="1"/>
  </cols>
  <sheetData>
    <row r="1" spans="1:3" x14ac:dyDescent="0.35">
      <c r="A1" s="7" t="s">
        <v>18</v>
      </c>
    </row>
    <row r="2" spans="1:3" ht="15.5" x14ac:dyDescent="0.35">
      <c r="A2" s="50" t="s">
        <v>91</v>
      </c>
    </row>
    <row r="3" spans="1:3" x14ac:dyDescent="0.35">
      <c r="A3" s="3" t="s">
        <v>92</v>
      </c>
    </row>
    <row r="5" spans="1:3" x14ac:dyDescent="0.35">
      <c r="A5" s="8" t="s">
        <v>94</v>
      </c>
      <c r="B5" s="8" t="s">
        <v>72</v>
      </c>
      <c r="C5" s="8" t="s">
        <v>84</v>
      </c>
    </row>
    <row r="6" spans="1:3" x14ac:dyDescent="0.35">
      <c r="A6" t="s">
        <v>90</v>
      </c>
      <c r="B6">
        <v>101</v>
      </c>
      <c r="C6" s="9">
        <f>B6/331</f>
        <v>0.30513595166163143</v>
      </c>
    </row>
    <row r="7" spans="1:3" x14ac:dyDescent="0.35">
      <c r="A7" t="s">
        <v>89</v>
      </c>
      <c r="B7">
        <v>93</v>
      </c>
      <c r="C7" s="9">
        <f>B7/331</f>
        <v>0.2809667673716012</v>
      </c>
    </row>
    <row r="8" spans="1:3" x14ac:dyDescent="0.35">
      <c r="A8" t="s">
        <v>88</v>
      </c>
      <c r="B8">
        <v>85</v>
      </c>
      <c r="C8" s="9">
        <f>B8/331</f>
        <v>0.25679758308157102</v>
      </c>
    </row>
    <row r="9" spans="1:3" x14ac:dyDescent="0.35">
      <c r="A9" t="s">
        <v>87</v>
      </c>
      <c r="B9">
        <v>41</v>
      </c>
      <c r="C9" s="9">
        <f>B9/331</f>
        <v>0.12386706948640483</v>
      </c>
    </row>
  </sheetData>
  <sheetProtection algorithmName="SHA-512" hashValue="5rQIFCs+nykMh8xUFe1db48uH/d5O6DEWuERYkNaiAdGIUtEUrwRWDnB2w2ZZAqFef0s0Fz/IObmJpiAkTNOWA==" saltValue="ux4HXwWQm1mHhzrAMBQmLA==" spinCount="100000" sheet="1" objects="1" scenarios="1"/>
  <sortState xmlns:xlrd2="http://schemas.microsoft.com/office/spreadsheetml/2017/richdata2" ref="A6:C9">
    <sortCondition descending="1" ref="B6:B9"/>
  </sortState>
  <hyperlinks>
    <hyperlink ref="A1" location="Contents!A1" display="Back to contents page" xr:uid="{1C72EBAA-B0DC-4757-A7E3-4F779C053A1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197F3A600D8F42AF79078358D9E2C2" ma:contentTypeVersion="15" ma:contentTypeDescription="Create a new document." ma:contentTypeScope="" ma:versionID="2fe9bab9abab26df0f852cfb05e8823e">
  <xsd:schema xmlns:xsd="http://www.w3.org/2001/XMLSchema" xmlns:xs="http://www.w3.org/2001/XMLSchema" xmlns:p="http://schemas.microsoft.com/office/2006/metadata/properties" xmlns:ns2="076986a1-c671-4d05-9459-3d83f29b296a" xmlns:ns3="72ce63a4-fb0c-48ab-9703-035e97f6b25e" targetNamespace="http://schemas.microsoft.com/office/2006/metadata/properties" ma:root="true" ma:fieldsID="213e8bb37e1324739ffd75e8024d5da9" ns2:_="" ns3:_="">
    <xsd:import namespace="076986a1-c671-4d05-9459-3d83f29b296a"/>
    <xsd:import namespace="72ce63a4-fb0c-48ab-9703-035e97f6b2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986a1-c671-4d05-9459-3d83f29b29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602eada-e4a9-4e59-8e48-d65e5683c3c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ce63a4-fb0c-48ab-9703-035e97f6b2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72188bb-2843-470a-be1d-d68d15d9012e}" ma:internalName="TaxCatchAll" ma:showField="CatchAllData" ma:web="72ce63a4-fb0c-48ab-9703-035e97f6b2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6986a1-c671-4d05-9459-3d83f29b296a">
      <Terms xmlns="http://schemas.microsoft.com/office/infopath/2007/PartnerControls"/>
    </lcf76f155ced4ddcb4097134ff3c332f>
    <TaxCatchAll xmlns="72ce63a4-fb0c-48ab-9703-035e97f6b25e" xsi:nil="true"/>
  </documentManagement>
</p:properties>
</file>

<file path=customXml/itemProps1.xml><?xml version="1.0" encoding="utf-8"?>
<ds:datastoreItem xmlns:ds="http://schemas.openxmlformats.org/officeDocument/2006/customXml" ds:itemID="{0976E223-9CB7-4E3C-859B-B5E01A31B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6986a1-c671-4d05-9459-3d83f29b296a"/>
    <ds:schemaRef ds:uri="72ce63a4-fb0c-48ab-9703-035e97f6b2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CE5FD-E6DE-4F36-8F92-F4719A37E5F0}">
  <ds:schemaRefs>
    <ds:schemaRef ds:uri="http://schemas.microsoft.com/sharepoint/v3/contenttype/forms"/>
  </ds:schemaRefs>
</ds:datastoreItem>
</file>

<file path=customXml/itemProps3.xml><?xml version="1.0" encoding="utf-8"?>
<ds:datastoreItem xmlns:ds="http://schemas.openxmlformats.org/officeDocument/2006/customXml" ds:itemID="{880983C3-F432-467A-A50E-7849AF6CE0B8}">
  <ds:schemaRefs>
    <ds:schemaRef ds:uri="http://schemas.microsoft.com/office/infopath/2007/PartnerControls"/>
    <ds:schemaRef ds:uri="http://purl.org/dc/elements/1.1/"/>
    <ds:schemaRef ds:uri="http://schemas.microsoft.com/office/2006/metadata/properties"/>
    <ds:schemaRef ds:uri="8c2dd84b-3897-49bd-af38-4a177295f275"/>
    <ds:schemaRef ds:uri="http://purl.org/dc/terms/"/>
    <ds:schemaRef ds:uri="http://schemas.microsoft.com/office/2006/documentManagement/types"/>
    <ds:schemaRef ds:uri="edbc4347-13a1-4548-91e5-9f21a0cccf84"/>
    <ds:schemaRef ds:uri="http://purl.org/dc/dcmitype/"/>
    <ds:schemaRef ds:uri="http://schemas.openxmlformats.org/package/2006/metadata/core-properties"/>
    <ds:schemaRef ds:uri="http://www.w3.org/XML/1998/namespace"/>
    <ds:schemaRef ds:uri="076986a1-c671-4d05-9459-3d83f29b296a"/>
    <ds:schemaRef ds:uri="72ce63a4-fb0c-48ab-9703-035e97f6b2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Methodology</vt:lpstr>
      <vt:lpstr>Definitions</vt:lpstr>
      <vt:lpstr>A1</vt:lpstr>
      <vt:lpstr>A2</vt:lpstr>
      <vt:lpstr>A3</vt:lpstr>
      <vt:lpstr>A4</vt:lpstr>
      <vt:lpstr>B1</vt:lpstr>
      <vt:lpstr>B2</vt:lpstr>
      <vt:lpstr>B3</vt:lpstr>
      <vt:lpstr>C1</vt:lpstr>
      <vt:lpstr>C2</vt:lpstr>
      <vt:lpstr>C3</vt:lpstr>
      <vt:lpstr>C4</vt:lpstr>
      <vt:lpstr>D1</vt:lpstr>
      <vt:lpstr>D2</vt:lpstr>
      <vt:lpstr>D3</vt:lpstr>
      <vt:lpstr>D4</vt:lpstr>
      <vt:lpstr>D5</vt:lpstr>
      <vt:lpstr>E1</vt:lpstr>
      <vt:lpstr>E2</vt:lpstr>
      <vt:lpstr>E3</vt:lpstr>
      <vt:lpstr>F1</vt:lpstr>
      <vt:lpstr>F2</vt:lpstr>
      <vt:lpstr>F3</vt:lpstr>
      <vt:lpstr>F4</vt:lpstr>
      <vt:lpstr>F5</vt:lpstr>
      <vt:lpstr>G1</vt:lpstr>
      <vt:lpstr>G2</vt:lpstr>
      <vt:lpstr>G3</vt:lpstr>
      <vt:lpstr>G4</vt:lpstr>
      <vt:lpstr>G5</vt:lpstr>
      <vt:lpstr>H1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Mercadante</dc:creator>
  <cp:keywords/>
  <dc:description/>
  <cp:lastModifiedBy>Jim Beck</cp:lastModifiedBy>
  <cp:revision/>
  <dcterms:created xsi:type="dcterms:W3CDTF">2023-10-13T07:50:02Z</dcterms:created>
  <dcterms:modified xsi:type="dcterms:W3CDTF">2024-02-28T14:14:17Z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0x01010020197F3A600D8F42AF79078358D9E2C2</vt:lpwstr>
  </property>
  <property fmtid="{D5CDD505-2E9C-101B-9397-08002B2CF9AE}" pid="3" name="MediaServiceImageTags">
    <vt:lpwstr/>
  </property>
</Properties>
</file>